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firstSheet="2" activeTab="6"/>
  </bookViews>
  <sheets>
    <sheet name="BLM chambers " sheetId="1" r:id="rId1"/>
    <sheet name="Tighteners" sheetId="2" r:id="rId2"/>
    <sheet name="Time to sending" sheetId="3" r:id="rId3"/>
    <sheet name="ceramics" sheetId="4" r:id="rId4"/>
    <sheet name="New order" sheetId="5" r:id="rId5"/>
    <sheet name="Sheet1" sheetId="6" r:id="rId6"/>
    <sheet name="Spacers" sheetId="7" r:id="rId7"/>
  </sheets>
  <definedNames>
    <definedName name="_xlnm.Print_Area" localSheetId="4">'New order'!$A$1:$S$58</definedName>
    <definedName name="_xlnm.Print_Area" localSheetId="1">'Tighteners'!$A$1:$Q$46</definedName>
    <definedName name="Z_1E92D746_8DA4_46FE_A015_5B53E5097C4F_.wvu.PrintArea" localSheetId="4" hidden="1">'New order'!$A$1:$S$58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4" hidden="1">'New order'!$A$1:$S$58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comments4.xml><?xml version="1.0" encoding="utf-8"?>
<comments xmlns="http://schemas.openxmlformats.org/spreadsheetml/2006/main">
  <authors>
    <author>grishinv</author>
  </authors>
  <commentList>
    <comment ref="I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1100?
</t>
        </r>
      </text>
    </comment>
  </commentList>
</comments>
</file>

<file path=xl/comments5.xml><?xml version="1.0" encoding="utf-8"?>
<comments xmlns="http://schemas.openxmlformats.org/spreadsheetml/2006/main">
  <authors>
    <author>grishinv</author>
    <author>eholzer</author>
  </authors>
  <commentList>
    <comment ref="A2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C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E5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also with Hole
</t>
        </r>
      </text>
    </comment>
    <comment ref="M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</commentList>
</comments>
</file>

<file path=xl/sharedStrings.xml><?xml version="1.0" encoding="utf-8"?>
<sst xmlns="http://schemas.openxmlformats.org/spreadsheetml/2006/main" count="1230" uniqueCount="568">
  <si>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</si>
  <si>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</si>
  <si>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</si>
  <si>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</si>
  <si>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</si>
  <si>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</si>
  <si>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</si>
  <si>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</si>
  <si>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</si>
  <si>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</si>
  <si>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</si>
  <si>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</si>
  <si>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</si>
  <si>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</si>
  <si>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</si>
  <si>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</si>
  <si>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</si>
  <si>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</si>
  <si>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</si>
  <si>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</si>
  <si>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</si>
  <si>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</si>
  <si>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</si>
  <si>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</si>
  <si>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</si>
  <si>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</si>
  <si>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</si>
  <si>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</si>
  <si>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</si>
  <si>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</si>
  <si>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</si>
  <si>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</si>
  <si>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</si>
  <si>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</si>
  <si>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</si>
  <si>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</si>
  <si>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</si>
  <si>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</si>
  <si>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</si>
  <si>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</si>
  <si>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</si>
  <si>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</si>
  <si>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</si>
  <si>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</si>
  <si>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</si>
  <si>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</si>
  <si>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</si>
  <si>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</si>
  <si>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</si>
  <si>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</si>
  <si>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</si>
  <si>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</si>
  <si>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</si>
  <si>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</si>
  <si>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</si>
  <si>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</si>
  <si>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</si>
  <si>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</si>
  <si>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</si>
  <si>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</si>
  <si>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</si>
  <si>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</si>
  <si>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</si>
  <si>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</si>
  <si>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</si>
  <si>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</si>
  <si>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</si>
  <si>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</si>
  <si>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</si>
  <si>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</si>
  <si>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</si>
  <si>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</si>
  <si>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</si>
  <si>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</si>
  <si>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</si>
  <si>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</si>
  <si>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</si>
  <si>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</si>
  <si>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</si>
  <si>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</si>
  <si>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</si>
  <si>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</si>
  <si>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</si>
  <si>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</si>
  <si>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</si>
  <si>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</si>
  <si>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</si>
  <si>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</si>
  <si>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</si>
  <si>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</si>
  <si>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</si>
  <si>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</si>
  <si>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</si>
  <si>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</si>
  <si>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</si>
  <si>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</si>
  <si>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</si>
  <si>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</si>
  <si>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</si>
  <si>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</si>
  <si>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</si>
  <si>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</si>
  <si>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</si>
  <si>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</si>
  <si>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</si>
  <si>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</si>
  <si>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</si>
  <si>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</si>
  <si>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</si>
  <si>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</si>
  <si>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</si>
  <si>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</si>
  <si>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</si>
  <si>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</si>
  <si>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</si>
  <si>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</si>
  <si>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</si>
  <si>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</si>
  <si>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</si>
  <si>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</si>
  <si>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</si>
  <si>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</si>
  <si>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</si>
  <si>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</si>
  <si>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</si>
  <si>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</si>
  <si>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</si>
  <si>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</si>
  <si>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</si>
  <si>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</si>
  <si>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</si>
  <si>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</si>
  <si>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</si>
  <si>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</si>
  <si>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</si>
  <si>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</si>
  <si>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</si>
  <si>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</si>
  <si>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</si>
  <si>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</si>
  <si>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</si>
  <si>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</si>
  <si>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</si>
  <si>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</si>
  <si>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</si>
  <si>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</si>
  <si>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</si>
  <si>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</si>
  <si>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</si>
  <si>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</si>
  <si>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</si>
  <si>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</si>
  <si>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</si>
  <si>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</si>
  <si>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</si>
  <si>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</si>
  <si>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</si>
  <si>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</si>
  <si>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</si>
  <si>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</si>
  <si>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</si>
  <si>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</si>
  <si>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</si>
  <si>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</si>
  <si>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</si>
  <si>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</si>
  <si>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</si>
  <si>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</si>
  <si>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</si>
  <si>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</si>
  <si>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</si>
  <si>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</si>
  <si>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</si>
  <si>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</si>
  <si>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</si>
  <si>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</si>
  <si>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</si>
  <si>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</si>
  <si>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</si>
  <si>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</si>
  <si>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</si>
  <si>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</si>
  <si>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</si>
  <si>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</si>
  <si>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</si>
  <si>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</si>
  <si>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</si>
  <si>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</si>
  <si>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</si>
  <si>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</si>
  <si>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</si>
  <si>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</si>
  <si>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</si>
  <si>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</si>
  <si>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</si>
  <si>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</si>
  <si>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</si>
  <si>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</si>
  <si>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</si>
  <si>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</si>
  <si>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</si>
  <si>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</si>
  <si>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</si>
  <si>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</si>
  <si>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</si>
  <si>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</si>
  <si>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</si>
  <si>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</si>
  <si>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</si>
  <si>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</si>
  <si>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</si>
  <si>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</si>
  <si>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</si>
  <si>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</si>
  <si>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</si>
  <si>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</si>
  <si>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</si>
  <si>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</si>
  <si>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</si>
  <si>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</si>
  <si>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</si>
  <si>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</si>
  <si>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</si>
  <si>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</si>
  <si>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</si>
  <si>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</si>
  <si>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</si>
  <si>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</si>
  <si>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</si>
  <si>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</si>
  <si>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</si>
  <si>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</si>
  <si>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</si>
  <si>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</si>
  <si>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</si>
  <si>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</si>
  <si>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</si>
  <si>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</si>
  <si>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</si>
  <si>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</si>
  <si>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</si>
  <si>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</si>
  <si>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</si>
  <si>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</si>
  <si>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</si>
  <si>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</si>
  <si>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</si>
  <si>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</si>
  <si>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</si>
  <si>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</si>
  <si>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</si>
  <si>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</si>
  <si>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</si>
  <si>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</si>
  <si>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</si>
  <si>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</si>
  <si>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</si>
  <si>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</si>
  <si>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</si>
  <si>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</si>
  <si>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</si>
  <si>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</si>
  <si>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</si>
  <si>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</si>
  <si>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</si>
  <si>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</si>
  <si>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</si>
  <si>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</si>
  <si>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</si>
  <si>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</si>
  <si>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</si>
  <si>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</si>
  <si>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</si>
  <si>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</si>
  <si>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</si>
  <si>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</si>
  <si>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</si>
  <si>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</si>
  <si>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</si>
  <si>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</si>
  <si>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</si>
  <si>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</si>
  <si>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</si>
  <si>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</si>
  <si>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</si>
  <si>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</si>
  <si>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</si>
  <si>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</si>
  <si>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</si>
  <si>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</si>
  <si>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</si>
  <si>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</si>
  <si>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</si>
  <si>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</si>
  <si>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</si>
  <si>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</si>
  <si>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</si>
  <si>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</si>
  <si>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</si>
  <si>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</si>
  <si>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</si>
  <si>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</si>
  <si>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</si>
  <si>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</si>
  <si>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</si>
  <si>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</si>
  <si>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</si>
  <si>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</si>
  <si>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</si>
  <si>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</si>
  <si>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</si>
  <si>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</si>
  <si>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</si>
  <si>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</si>
  <si>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</si>
  <si>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</si>
  <si>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</si>
  <si>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</si>
  <si>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</si>
  <si>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</si>
  <si>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</si>
  <si>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</si>
  <si>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</si>
  <si>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</si>
  <si>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</si>
  <si>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</si>
  <si>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</si>
  <si>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</si>
  <si>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</si>
  <si>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</si>
  <si>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</si>
  <si>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</si>
  <si>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</si>
  <si>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</si>
  <si>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</si>
  <si>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</si>
  <si>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</si>
  <si>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</si>
  <si>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</si>
  <si>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</si>
  <si>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</si>
  <si>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</si>
  <si>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</si>
  <si>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</si>
  <si>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</si>
  <si>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</si>
  <si>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</si>
  <si>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</si>
  <si>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</si>
  <si>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</si>
  <si>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</si>
  <si>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</si>
  <si>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</si>
  <si>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</si>
  <si>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</si>
  <si>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</si>
  <si>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</si>
  <si>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</si>
  <si>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</si>
  <si>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</si>
  <si>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</si>
  <si>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</si>
  <si>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</si>
  <si>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</si>
  <si>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</si>
  <si>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</si>
  <si>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</si>
  <si>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</si>
  <si>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</si>
  <si>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</si>
  <si>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</si>
  <si>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</si>
  <si>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</si>
  <si>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</si>
  <si>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</si>
  <si>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</si>
  <si>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</si>
  <si>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</si>
  <si>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</si>
  <si>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</si>
  <si>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</si>
  <si>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</si>
  <si>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</si>
  <si>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</si>
  <si>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</si>
  <si>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</si>
  <si>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</si>
  <si>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</si>
  <si>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</si>
  <si>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</si>
  <si>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</si>
  <si>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</si>
  <si>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</si>
  <si>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</si>
  <si>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</si>
  <si>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</si>
  <si>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</si>
  <si>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</si>
  <si>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</si>
  <si>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</si>
  <si>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</si>
  <si>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</si>
  <si>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</si>
  <si>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</si>
  <si>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</si>
  <si>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</si>
  <si>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</si>
  <si>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</si>
  <si>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</si>
  <si>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</si>
  <si>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</si>
  <si>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</si>
  <si>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</si>
  <si>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</si>
  <si>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</si>
  <si>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</si>
  <si>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</si>
  <si>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</si>
  <si>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</si>
  <si>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</si>
  <si>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</si>
  <si>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</si>
  <si>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</si>
  <si>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</si>
  <si>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</si>
  <si>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</si>
  <si>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</si>
  <si>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</si>
  <si>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</si>
  <si>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</si>
  <si>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</si>
  <si>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</si>
  <si>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</si>
  <si>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</si>
  <si>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</si>
  <si>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</si>
  <si>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</si>
  <si>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</si>
  <si>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</si>
  <si>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</si>
  <si>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Mishas counting in Protvino (up to sh 9)</t>
  </si>
  <si>
    <t xml:space="preserve">
</t>
  </si>
  <si>
    <t>March,07</t>
  </si>
  <si>
    <t>1.June-360</t>
  </si>
  <si>
    <t>Last month for production</t>
  </si>
  <si>
    <t>Apr,07</t>
  </si>
  <si>
    <t>Shipping before</t>
  </si>
  <si>
    <t>Feb,07</t>
  </si>
  <si>
    <t>shipment 10 (Sep.06)</t>
  </si>
  <si>
    <t>By whom</t>
  </si>
  <si>
    <t>Vuitton</t>
  </si>
  <si>
    <t>Franco</t>
  </si>
  <si>
    <t>New Ordered</t>
  </si>
  <si>
    <t>IC=4305 - 500(UK)=3805 at Protvino</t>
  </si>
  <si>
    <t>For IC &amp; SEM at Pr</t>
  </si>
  <si>
    <t>180m</t>
  </si>
  <si>
    <t>255m</t>
  </si>
  <si>
    <t>70m</t>
  </si>
  <si>
    <t>Misha</t>
  </si>
  <si>
    <t>Not all good, 6 heads-11.09.06 at CERN</t>
  </si>
  <si>
    <t>37th</t>
  </si>
  <si>
    <t>11.09.2006</t>
  </si>
  <si>
    <t>38th</t>
  </si>
  <si>
    <t>14.09.2006</t>
  </si>
  <si>
    <t>19.09.2006</t>
  </si>
  <si>
    <t>26.9.2006</t>
  </si>
  <si>
    <t>25.9.2006</t>
  </si>
  <si>
    <t>NEW ORDER</t>
  </si>
  <si>
    <t>END OF 1ST ORDER</t>
  </si>
  <si>
    <t>Paper to SCT</t>
  </si>
  <si>
    <t>Date</t>
  </si>
  <si>
    <t>Qty</t>
  </si>
  <si>
    <t>Slava_Sh</t>
  </si>
  <si>
    <t>L5=17/03</t>
  </si>
  <si>
    <t>L6=7/04</t>
  </si>
  <si>
    <t>L7=29/05</t>
  </si>
  <si>
    <t>L9=25/07</t>
  </si>
  <si>
    <t>L8=13/06</t>
  </si>
  <si>
    <t>Date of Sh</t>
  </si>
  <si>
    <t>Sasha</t>
  </si>
  <si>
    <t>17/07</t>
  </si>
  <si>
    <t>L9</t>
  </si>
  <si>
    <t>GSNC - ?</t>
  </si>
  <si>
    <t>W/t 200 =&gt;</t>
  </si>
  <si>
    <t>Order=7110</t>
  </si>
  <si>
    <t>&lt;Franco</t>
  </si>
  <si>
    <t>-</t>
  </si>
  <si>
    <t>NGL- 150 kg ordered; 250 kg received; Oct06</t>
  </si>
  <si>
    <t>Count at Protvino     incl sh#9</t>
  </si>
  <si>
    <t>250 kg</t>
  </si>
  <si>
    <t>09.10.2006</t>
  </si>
  <si>
    <t>13.09.2006</t>
  </si>
  <si>
    <t>3rd</t>
  </si>
  <si>
    <t>39th = 1st NEW</t>
  </si>
  <si>
    <t>2nd</t>
  </si>
  <si>
    <t>30.09.2006</t>
  </si>
  <si>
    <t>slava/EBH</t>
  </si>
  <si>
    <t>SEM</t>
  </si>
  <si>
    <t>Ti materil</t>
  </si>
  <si>
    <t>CHF</t>
  </si>
  <si>
    <t>electrode cutting</t>
  </si>
  <si>
    <t>outside tube</t>
  </si>
  <si>
    <t>ceramics</t>
  </si>
  <si>
    <t>tighteners</t>
  </si>
  <si>
    <t>electrode spacers</t>
  </si>
  <si>
    <t>vacuum firing</t>
  </si>
  <si>
    <t>top cover plate</t>
  </si>
  <si>
    <t>wire for NEG</t>
  </si>
  <si>
    <t>additional IC/SEM</t>
  </si>
  <si>
    <t>cutting of tubes</t>
  </si>
  <si>
    <t>heating of ceramics tubes</t>
  </si>
  <si>
    <t>cover material (234 in hall)</t>
  </si>
  <si>
    <t>4th</t>
  </si>
  <si>
    <t>18.10.2006</t>
  </si>
  <si>
    <t>24.10.2006</t>
  </si>
  <si>
    <t>20.10.2006</t>
  </si>
  <si>
    <t>26.10.2006</t>
  </si>
  <si>
    <t>28.10.2006</t>
  </si>
  <si>
    <t>date</t>
  </si>
  <si>
    <t>NEG (100 EUR/m)</t>
  </si>
  <si>
    <t>bottom cover plate - already bought</t>
  </si>
  <si>
    <t>cleaning of components</t>
  </si>
  <si>
    <t>cleaning of Cu</t>
  </si>
  <si>
    <t>heating of Cu</t>
  </si>
  <si>
    <t>wrapping of Alumine tubes</t>
  </si>
  <si>
    <t>spacers type A</t>
  </si>
  <si>
    <t>total</t>
  </si>
  <si>
    <t>per box</t>
  </si>
  <si>
    <t>box 1</t>
  </si>
  <si>
    <t>plastic bag</t>
  </si>
  <si>
    <t>tube</t>
  </si>
  <si>
    <t>material</t>
  </si>
  <si>
    <t>box 2</t>
  </si>
  <si>
    <t>pleine</t>
  </si>
  <si>
    <t>box 3</t>
  </si>
  <si>
    <t>Difference</t>
  </si>
  <si>
    <t>n.a.</t>
  </si>
  <si>
    <t>1 big box</t>
  </si>
  <si>
    <t>mixed</t>
  </si>
  <si>
    <t>EBH/Flueckiger</t>
  </si>
  <si>
    <t>20.11.2006</t>
  </si>
  <si>
    <t>17.11.2006 (?)</t>
  </si>
  <si>
    <t>n.a</t>
  </si>
  <si>
    <t>8th</t>
  </si>
  <si>
    <t>24.11.2006</t>
  </si>
  <si>
    <t>Sh#11 (Dec06)</t>
  </si>
  <si>
    <t>Exist at Protvino +Sh10&amp; Sh11</t>
  </si>
  <si>
    <t>Pr Exist + Sh10&amp;11 / IC</t>
  </si>
  <si>
    <t xml:space="preserve"># Month of production </t>
  </si>
  <si>
    <t>Shipping next</t>
  </si>
  <si>
    <t>March.07</t>
  </si>
  <si>
    <t>May,07</t>
  </si>
  <si>
    <t>Pr Exist + Sh10 &amp;Sh11 / IC</t>
  </si>
  <si>
    <t># Month of the production+401H</t>
  </si>
  <si>
    <t>shipment      #10 counted at Protvino</t>
  </si>
  <si>
    <t>27.11.2006</t>
  </si>
  <si>
    <t>Needed for 385 SEM</t>
  </si>
  <si>
    <t>Needed for 4305 IC materials</t>
  </si>
  <si>
    <t>10roll</t>
  </si>
  <si>
    <t>That's all</t>
  </si>
  <si>
    <t>Needed for 3805 Heads welding</t>
  </si>
  <si>
    <r>
      <t>203+221</t>
    </r>
    <r>
      <rPr>
        <sz val="10"/>
        <rFont val="Arial"/>
        <family val="0"/>
      </rPr>
      <t>-385=</t>
    </r>
    <r>
      <rPr>
        <sz val="10"/>
        <color indexed="48"/>
        <rFont val="Arial"/>
        <family val="2"/>
      </rPr>
      <t>39</t>
    </r>
  </si>
  <si>
    <t>type D</t>
  </si>
  <si>
    <t>1.12.2006</t>
  </si>
  <si>
    <t>13.11.2006</t>
  </si>
  <si>
    <t>free deliviery - no paper!</t>
  </si>
  <si>
    <t>10the delivery</t>
  </si>
  <si>
    <t>18.12.2006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</si>
</sst>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  <numFmt numFmtId="221" formatCode="0;[Red]0"/>
    <numFmt numFmtId="222" formatCode="m/d;@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4" fillId="18" borderId="2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10" borderId="0" xfId="0" applyFont="1" applyFill="1" applyAlignment="1">
      <alignment/>
    </xf>
    <xf numFmtId="1" fontId="6" fillId="8" borderId="2" xfId="0" applyNumberFormat="1" applyFont="1" applyFill="1" applyBorder="1" applyAlignment="1">
      <alignment horizontal="center" vertical="top" wrapText="1"/>
    </xf>
    <xf numFmtId="1" fontId="5" fillId="8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5" xfId="0" applyFill="1" applyBorder="1" applyAlignment="1">
      <alignment horizontal="left" vertical="top"/>
    </xf>
    <xf numFmtId="0" fontId="0" fillId="0" borderId="5" xfId="0" applyBorder="1" applyAlignment="1">
      <alignment/>
    </xf>
    <xf numFmtId="0" fontId="0" fillId="5" borderId="3" xfId="0" applyFill="1" applyBorder="1" applyAlignment="1">
      <alignment/>
    </xf>
    <xf numFmtId="0" fontId="0" fillId="0" borderId="2" xfId="0" applyBorder="1" applyAlignment="1">
      <alignment horizontal="right"/>
    </xf>
    <xf numFmtId="0" fontId="0" fillId="10" borderId="2" xfId="0" applyFill="1" applyBorder="1" applyAlignment="1">
      <alignment horizontal="right"/>
    </xf>
    <xf numFmtId="1" fontId="0" fillId="2" borderId="2" xfId="0" applyNumberFormat="1" applyFill="1" applyBorder="1" applyAlignment="1">
      <alignment/>
    </xf>
    <xf numFmtId="0" fontId="0" fillId="19" borderId="2" xfId="0" applyFill="1" applyBorder="1" applyAlignment="1">
      <alignment/>
    </xf>
    <xf numFmtId="0" fontId="7" fillId="4" borderId="2" xfId="0" applyFont="1" applyFill="1" applyBorder="1" applyAlignment="1">
      <alignment/>
    </xf>
    <xf numFmtId="0" fontId="4" fillId="8" borderId="2" xfId="0" applyFont="1" applyFill="1" applyBorder="1" applyAlignment="1">
      <alignment/>
    </xf>
    <xf numFmtId="1" fontId="18" fillId="0" borderId="2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/>
    </xf>
    <xf numFmtId="1" fontId="0" fillId="4" borderId="2" xfId="0" applyNumberFormat="1" applyFont="1" applyFill="1" applyBorder="1" applyAlignment="1">
      <alignment/>
    </xf>
    <xf numFmtId="1" fontId="0" fillId="11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4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1" fontId="0" fillId="6" borderId="2" xfId="0" applyNumberFormat="1" applyFont="1" applyFill="1" applyBorder="1" applyAlignment="1">
      <alignment horizontal="right"/>
    </xf>
    <xf numFmtId="192" fontId="0" fillId="6" borderId="2" xfId="0" applyNumberFormat="1" applyFill="1" applyBorder="1" applyAlignment="1">
      <alignment/>
    </xf>
    <xf numFmtId="1" fontId="0" fillId="6" borderId="2" xfId="0" applyNumberFormat="1" applyFill="1" applyBorder="1" applyAlignment="1">
      <alignment/>
    </xf>
    <xf numFmtId="1" fontId="7" fillId="6" borderId="2" xfId="0" applyNumberFormat="1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2" xfId="0" applyFont="1" applyBorder="1" applyAlignment="1">
      <alignment/>
    </xf>
    <xf numFmtId="1" fontId="7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61">
      <pane xSplit="3" topLeftCell="D1" activePane="topRight" state="frozen"/>
      <selection pane="topLeft" activeCell="A61" sqref="A61"/>
      <selection pane="topRight" activeCell="A79" sqref="A79:C10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334</v>
      </c>
      <c r="K1" s="154" t="s">
        <v>329</v>
      </c>
      <c r="L1" s="189" t="s">
        <v>4</v>
      </c>
      <c r="M1" s="33" t="s">
        <v>29</v>
      </c>
      <c r="N1" s="38" t="s">
        <v>122</v>
      </c>
      <c r="O1" s="187" t="s">
        <v>330</v>
      </c>
      <c r="P1" s="33" t="s">
        <v>30</v>
      </c>
      <c r="Q1" s="156" t="s">
        <v>331</v>
      </c>
      <c r="R1" s="33" t="s">
        <v>224</v>
      </c>
      <c r="S1" s="40" t="s">
        <v>16</v>
      </c>
      <c r="T1" s="40" t="s">
        <v>28</v>
      </c>
      <c r="U1" s="39" t="s">
        <v>118</v>
      </c>
      <c r="V1" s="156" t="s">
        <v>225</v>
      </c>
      <c r="W1" s="156" t="s">
        <v>161</v>
      </c>
      <c r="X1" s="165" t="s">
        <v>117</v>
      </c>
      <c r="Y1" s="165" t="s">
        <v>244</v>
      </c>
      <c r="Z1" s="165" t="s">
        <v>414</v>
      </c>
      <c r="AA1" s="216" t="s">
        <v>397</v>
      </c>
      <c r="AB1" s="166" t="s">
        <v>378</v>
      </c>
      <c r="AC1" s="166" t="s">
        <v>379</v>
      </c>
      <c r="AD1" s="217" t="s">
        <v>359</v>
      </c>
      <c r="AE1" s="229" t="s">
        <v>374</v>
      </c>
      <c r="AF1" s="229" t="s">
        <v>375</v>
      </c>
      <c r="AG1" s="166" t="s">
        <v>377</v>
      </c>
      <c r="AH1" s="165" t="s">
        <v>352</v>
      </c>
      <c r="AI1" s="166" t="s">
        <v>354</v>
      </c>
      <c r="AJ1" s="209" t="s">
        <v>337</v>
      </c>
      <c r="AK1" s="231" t="s">
        <v>351</v>
      </c>
      <c r="AL1" s="41"/>
      <c r="AM1" s="254" t="s">
        <v>383</v>
      </c>
      <c r="AR1" s="8"/>
      <c r="AS1" s="8"/>
    </row>
    <row r="2" spans="1:39" ht="12.75">
      <c r="A2" s="41" t="s">
        <v>344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358</v>
      </c>
      <c r="AA2" s="52"/>
      <c r="AB2" s="53"/>
      <c r="AC2" s="53"/>
      <c r="AD2" s="220" t="s">
        <v>357</v>
      </c>
      <c r="AE2" s="230"/>
      <c r="AF2" s="230"/>
      <c r="AG2" s="220" t="s">
        <v>357</v>
      </c>
      <c r="AH2" s="88"/>
      <c r="AI2" s="53" t="s">
        <v>41</v>
      </c>
      <c r="AJ2" s="88"/>
      <c r="AK2" s="232"/>
      <c r="AL2" s="247" t="s">
        <v>380</v>
      </c>
      <c r="AM2" s="252" t="s">
        <v>393</v>
      </c>
    </row>
    <row r="3" spans="1:39" ht="12.75">
      <c r="A3" s="170" t="s">
        <v>322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360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271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143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307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162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144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145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313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163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342</v>
      </c>
      <c r="AL8" s="243">
        <f t="shared" si="4"/>
        <v>-4</v>
      </c>
      <c r="AM8" s="183"/>
    </row>
    <row r="9" spans="1:39" ht="12.75">
      <c r="A9" s="74" t="s">
        <v>146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310</v>
      </c>
      <c r="R9" s="171">
        <f t="shared" si="0"/>
        <v>81</v>
      </c>
      <c r="S9" s="50"/>
      <c r="T9" s="50" t="s">
        <v>24</v>
      </c>
      <c r="U9" s="93"/>
      <c r="V9" s="157" t="s">
        <v>227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343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147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148</v>
      </c>
      <c r="B11" s="59" t="s">
        <v>57</v>
      </c>
      <c r="C11" s="59" t="s">
        <v>239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298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231</v>
      </c>
      <c r="W11" s="157" t="s">
        <v>298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335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304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232</v>
      </c>
      <c r="W13" s="157" t="s">
        <v>361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343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149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229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150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229</v>
      </c>
      <c r="H15" s="88" t="s">
        <v>229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305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233</v>
      </c>
      <c r="W16" s="157" t="s">
        <v>165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343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301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226</v>
      </c>
      <c r="W17" s="157" t="s">
        <v>166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382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302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226</v>
      </c>
      <c r="W18" s="157" t="s">
        <v>167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271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254</v>
      </c>
      <c r="R20" s="171" t="e">
        <f>-K20+#REF!*D20</f>
        <v>#REF!</v>
      </c>
      <c r="S20" s="50"/>
      <c r="T20" s="50" t="s">
        <v>24</v>
      </c>
      <c r="U20" s="51"/>
      <c r="V20" s="157" t="s">
        <v>238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255</v>
      </c>
      <c r="R21" s="171" t="e">
        <f>-K21+#REF!*D21</f>
        <v>#REF!</v>
      </c>
      <c r="S21" s="90"/>
      <c r="T21" s="50" t="s">
        <v>24</v>
      </c>
      <c r="U21" s="105"/>
      <c r="V21" s="157" t="s">
        <v>235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271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240</v>
      </c>
      <c r="B24" s="59"/>
      <c r="C24" s="59"/>
      <c r="D24" s="44"/>
      <c r="E24" s="45"/>
      <c r="F24" s="85"/>
      <c r="G24" s="86"/>
      <c r="H24" s="85"/>
      <c r="I24" s="46"/>
      <c r="J24" s="153" t="s">
        <v>229</v>
      </c>
      <c r="K24" s="153" t="s">
        <v>229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243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362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271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168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235</v>
      </c>
      <c r="W27" s="157" t="s">
        <v>168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303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242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169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236</v>
      </c>
      <c r="W29" s="157" t="s">
        <v>169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170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237</v>
      </c>
      <c r="W30" s="157" t="s">
        <v>170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306</v>
      </c>
      <c r="R31" s="196">
        <f t="shared" si="0"/>
        <v>-11280</v>
      </c>
      <c r="S31" s="50"/>
      <c r="T31" s="50"/>
      <c r="U31" s="51" t="s">
        <v>120</v>
      </c>
      <c r="V31" s="157" t="s">
        <v>234</v>
      </c>
      <c r="W31" s="157" t="s">
        <v>171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228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228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234</v>
      </c>
      <c r="W32" s="157" t="s">
        <v>228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271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271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308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172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172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226</v>
      </c>
      <c r="W37" s="157" t="s">
        <v>172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314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241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381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173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237</v>
      </c>
      <c r="W39" s="158" t="s">
        <v>173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174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174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230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237</v>
      </c>
      <c r="W41" s="158" t="s">
        <v>230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178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178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312</v>
      </c>
      <c r="R43" s="130">
        <f t="shared" si="0"/>
        <v>-1176</v>
      </c>
      <c r="S43" s="140"/>
      <c r="T43" s="113" t="s">
        <v>24</v>
      </c>
      <c r="U43" s="51"/>
      <c r="V43" s="157" t="s">
        <v>235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309</v>
      </c>
      <c r="R44" s="130">
        <f t="shared" si="0"/>
        <v>-588</v>
      </c>
      <c r="S44" s="140"/>
      <c r="T44" s="113" t="s">
        <v>24</v>
      </c>
      <c r="U44" s="51"/>
      <c r="V44" s="157" t="s">
        <v>226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309</v>
      </c>
      <c r="R45" s="130">
        <f t="shared" si="0"/>
        <v>-588</v>
      </c>
      <c r="S45" s="140"/>
      <c r="T45" s="113" t="s">
        <v>24</v>
      </c>
      <c r="U45" s="51"/>
      <c r="V45" s="157" t="s">
        <v>226</v>
      </c>
      <c r="W45" s="157" t="s">
        <v>177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309</v>
      </c>
      <c r="R46" s="130">
        <f t="shared" si="0"/>
        <v>-588</v>
      </c>
      <c r="S46" s="140"/>
      <c r="T46" s="113" t="s">
        <v>24</v>
      </c>
      <c r="U46" s="51"/>
      <c r="V46" s="157" t="s">
        <v>226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250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175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317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309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176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309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164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340</v>
      </c>
      <c r="B51" s="43" t="s">
        <v>341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363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271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334</v>
      </c>
      <c r="K57" s="154" t="s">
        <v>329</v>
      </c>
      <c r="L57" s="189" t="s">
        <v>4</v>
      </c>
      <c r="M57" s="33" t="s">
        <v>29</v>
      </c>
      <c r="N57" s="38" t="s">
        <v>122</v>
      </c>
      <c r="O57" s="187" t="s">
        <v>330</v>
      </c>
      <c r="P57" s="33" t="s">
        <v>30</v>
      </c>
      <c r="Q57" s="156" t="s">
        <v>331</v>
      </c>
      <c r="R57" s="33" t="s">
        <v>224</v>
      </c>
      <c r="S57" s="40" t="s">
        <v>16</v>
      </c>
      <c r="T57" s="40" t="s">
        <v>28</v>
      </c>
      <c r="U57" s="39" t="s">
        <v>118</v>
      </c>
      <c r="V57" s="156" t="s">
        <v>225</v>
      </c>
      <c r="W57" s="156" t="s">
        <v>161</v>
      </c>
      <c r="X57" s="165" t="s">
        <v>117</v>
      </c>
      <c r="Y57" s="165" t="s">
        <v>244</v>
      </c>
      <c r="Z57" s="165" t="s">
        <v>415</v>
      </c>
      <c r="AA57" s="216" t="s">
        <v>353</v>
      </c>
      <c r="AB57" s="229" t="s">
        <v>392</v>
      </c>
      <c r="AC57" s="166" t="s">
        <v>376</v>
      </c>
      <c r="AD57" s="217" t="s">
        <v>359</v>
      </c>
      <c r="AE57" s="166"/>
      <c r="AF57" s="166"/>
      <c r="AG57" s="166" t="s">
        <v>260</v>
      </c>
      <c r="AH57" s="165" t="s">
        <v>355</v>
      </c>
      <c r="AI57" s="166" t="s">
        <v>354</v>
      </c>
      <c r="AJ57" s="209" t="s">
        <v>337</v>
      </c>
      <c r="AK57" s="254" t="s">
        <v>383</v>
      </c>
      <c r="AL57" s="218" t="s">
        <v>332</v>
      </c>
      <c r="AM57" s="190" t="s">
        <v>299</v>
      </c>
      <c r="AN57" s="190" t="s">
        <v>333</v>
      </c>
      <c r="AO57" s="218" t="s">
        <v>356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358</v>
      </c>
      <c r="AA58" s="23"/>
      <c r="AB58" s="223"/>
      <c r="AC58" s="223" t="s">
        <v>360</v>
      </c>
      <c r="AD58" s="220" t="s">
        <v>358</v>
      </c>
      <c r="AE58" s="4"/>
      <c r="AF58" s="4"/>
      <c r="AG58" s="4"/>
      <c r="AH58" s="21"/>
      <c r="AI58" s="4"/>
      <c r="AJ58" s="21"/>
      <c r="AK58" s="252" t="s">
        <v>393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250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226</v>
      </c>
      <c r="W60" s="157" t="s">
        <v>318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261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251</v>
      </c>
      <c r="R61" s="196">
        <f>-I61+P61</f>
        <v>-2256</v>
      </c>
      <c r="S61" s="50" t="s">
        <v>31</v>
      </c>
      <c r="T61" s="50" t="s">
        <v>106</v>
      </c>
      <c r="U61" s="89" t="s">
        <v>271</v>
      </c>
      <c r="V61" s="157" t="s">
        <v>243</v>
      </c>
      <c r="W61" s="157" t="s">
        <v>319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261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339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252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320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261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152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251</v>
      </c>
      <c r="R64" s="171">
        <f>-I64+P64</f>
        <v>-150</v>
      </c>
      <c r="S64" s="140" t="s">
        <v>31</v>
      </c>
      <c r="T64" s="50" t="s">
        <v>153</v>
      </c>
      <c r="U64" s="51"/>
      <c r="V64" s="157"/>
      <c r="W64" s="157" t="s">
        <v>319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261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151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153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311</v>
      </c>
      <c r="R66" s="196">
        <f>-I66+P66</f>
        <v>6439</v>
      </c>
      <c r="S66" s="140" t="s">
        <v>31</v>
      </c>
      <c r="T66" s="50" t="s">
        <v>153</v>
      </c>
      <c r="U66" s="51"/>
      <c r="V66" s="157"/>
      <c r="W66" s="157" t="s">
        <v>319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261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336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253</v>
      </c>
      <c r="R67" s="196">
        <f>-I67+P67</f>
        <v>-2905</v>
      </c>
      <c r="S67" s="140" t="s">
        <v>31</v>
      </c>
      <c r="T67" s="113" t="s">
        <v>153</v>
      </c>
      <c r="U67" s="112"/>
      <c r="V67" s="158" t="s">
        <v>243</v>
      </c>
      <c r="W67" s="158" t="s">
        <v>321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261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338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1:39" ht="12.75">
      <c r="A79" s="1" t="s">
        <v>497</v>
      </c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1:39" ht="12.75">
      <c r="A80" t="s">
        <v>498</v>
      </c>
      <c r="B80" s="294">
        <v>18000</v>
      </c>
      <c r="C80" s="30" t="s">
        <v>499</v>
      </c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1:39" ht="12.75">
      <c r="A81" t="s">
        <v>500</v>
      </c>
      <c r="B81" s="294">
        <f>5*3*400</f>
        <v>6000</v>
      </c>
      <c r="C81" s="30" t="s">
        <v>499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1:39" ht="12.75">
      <c r="A82" t="s">
        <v>501</v>
      </c>
      <c r="B82" s="294">
        <v>1200</v>
      </c>
      <c r="C82" s="30" t="s">
        <v>499</v>
      </c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1:39" ht="12.75">
      <c r="A83" t="s">
        <v>502</v>
      </c>
      <c r="B83" s="294">
        <f>(27*1200+12*210)*1.7</f>
        <v>59364</v>
      </c>
      <c r="C83" s="30" t="s">
        <v>499</v>
      </c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291" t="s">
        <v>503</v>
      </c>
      <c r="B84" s="295">
        <v>5280</v>
      </c>
      <c r="C84" s="293" t="s">
        <v>499</v>
      </c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1:39" ht="12.75">
      <c r="A85" s="291" t="s">
        <v>504</v>
      </c>
      <c r="B85" s="296">
        <v>763</v>
      </c>
      <c r="C85" s="293" t="s">
        <v>499</v>
      </c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1:39" ht="12.75">
      <c r="A86" s="291" t="s">
        <v>505</v>
      </c>
      <c r="B86" s="294">
        <v>3000</v>
      </c>
      <c r="C86" s="30" t="s">
        <v>499</v>
      </c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1:39" ht="12.75">
      <c r="A87" s="291" t="s">
        <v>519</v>
      </c>
      <c r="B87" s="294">
        <v>25500</v>
      </c>
      <c r="C87" s="30" t="s">
        <v>499</v>
      </c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1:39" ht="12.75">
      <c r="A88" s="291" t="s">
        <v>506</v>
      </c>
      <c r="B88" s="296">
        <v>4464</v>
      </c>
      <c r="C88" s="293" t="s">
        <v>499</v>
      </c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1:39" ht="12.75">
      <c r="A89" s="291" t="s">
        <v>520</v>
      </c>
      <c r="B89" s="294">
        <v>0</v>
      </c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1:39" ht="12.75">
      <c r="A90" s="291" t="s">
        <v>507</v>
      </c>
      <c r="B90" s="294">
        <v>4000</v>
      </c>
      <c r="C90" s="30" t="s">
        <v>499</v>
      </c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1:39" ht="12.75">
      <c r="A91" s="291" t="s">
        <v>511</v>
      </c>
      <c r="B91" s="294">
        <v>660</v>
      </c>
      <c r="C91" s="30" t="s">
        <v>499</v>
      </c>
      <c r="D91" s="28"/>
      <c r="E91" s="292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1:39" ht="12.75">
      <c r="A92" t="s">
        <v>521</v>
      </c>
      <c r="B92" s="294">
        <v>6500</v>
      </c>
      <c r="C92" s="30" t="s">
        <v>499</v>
      </c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1:39" ht="12.75">
      <c r="A93" s="1"/>
      <c r="B93" s="294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1:39" ht="12.75">
      <c r="A94" s="1" t="s">
        <v>508</v>
      </c>
      <c r="B94" s="294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1:39" ht="12.75">
      <c r="A95" t="s">
        <v>509</v>
      </c>
      <c r="B95" s="294">
        <v>2712</v>
      </c>
      <c r="C95" s="30" t="s">
        <v>499</v>
      </c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1:39" ht="12.75">
      <c r="A96" t="s">
        <v>522</v>
      </c>
      <c r="B96" s="294">
        <v>600</v>
      </c>
      <c r="C96" s="30" t="s">
        <v>499</v>
      </c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1:39" ht="12.75">
      <c r="A97" t="s">
        <v>523</v>
      </c>
      <c r="B97" s="294">
        <v>1400</v>
      </c>
      <c r="C97" s="30" t="s">
        <v>499</v>
      </c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1:39" ht="12.75">
      <c r="A98" t="s">
        <v>510</v>
      </c>
      <c r="B98" s="294">
        <v>1000</v>
      </c>
      <c r="C98" s="30" t="s">
        <v>499</v>
      </c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:22" ht="12.75">
      <c r="A99" t="s">
        <v>524</v>
      </c>
      <c r="B99" s="185">
        <v>1000</v>
      </c>
      <c r="C99" t="s">
        <v>499</v>
      </c>
      <c r="P99" s="15"/>
      <c r="V99" s="15"/>
    </row>
    <row r="100" spans="1:22" ht="13.5" thickBot="1">
      <c r="A100" s="299" t="s">
        <v>525</v>
      </c>
      <c r="B100" s="297">
        <v>5300</v>
      </c>
      <c r="C100" s="298" t="s">
        <v>499</v>
      </c>
      <c r="P100" s="15"/>
      <c r="V100" s="15"/>
    </row>
    <row r="101" spans="2:22" ht="13.5" thickTop="1">
      <c r="B101">
        <f>SUM(B80:B100)</f>
        <v>146743</v>
      </c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283</v>
      </c>
      <c r="B1"/>
      <c r="C1" t="s">
        <v>285</v>
      </c>
      <c r="D1" t="s">
        <v>284</v>
      </c>
      <c r="E1" t="s">
        <v>284</v>
      </c>
      <c r="F1"/>
      <c r="G1"/>
      <c r="H1" t="s">
        <v>284</v>
      </c>
      <c r="I1" t="s">
        <v>284</v>
      </c>
      <c r="J1"/>
      <c r="K1"/>
      <c r="L1"/>
      <c r="M1"/>
      <c r="N1" t="s">
        <v>289</v>
      </c>
      <c r="O1" t="s">
        <v>368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134</v>
      </c>
      <c r="F2" s="181" t="s">
        <v>127</v>
      </c>
      <c r="G2" s="143" t="s">
        <v>134</v>
      </c>
      <c r="H2" s="181" t="s">
        <v>127</v>
      </c>
      <c r="I2" s="143" t="s">
        <v>134</v>
      </c>
      <c r="J2" s="181" t="s">
        <v>127</v>
      </c>
      <c r="K2" s="143" t="s">
        <v>134</v>
      </c>
      <c r="L2" s="143"/>
      <c r="M2" s="143"/>
      <c r="N2" t="s">
        <v>366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291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132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365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290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364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288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369</v>
      </c>
      <c r="B10" t="s">
        <v>282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372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370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371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367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373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394</v>
      </c>
      <c r="D29" s="181" t="s">
        <v>127</v>
      </c>
      <c r="E29" s="143" t="s">
        <v>134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288</v>
      </c>
      <c r="D30" s="15">
        <v>14497</v>
      </c>
      <c r="E30" s="16">
        <v>6905</v>
      </c>
      <c r="F30" t="s">
        <v>395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396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179</v>
      </c>
      <c r="C1" t="s">
        <v>180</v>
      </c>
      <c r="D1" s="146" t="s">
        <v>181</v>
      </c>
      <c r="E1" s="143" t="s">
        <v>182</v>
      </c>
      <c r="F1" s="143" t="s">
        <v>183</v>
      </c>
      <c r="G1" t="s">
        <v>184</v>
      </c>
      <c r="H1" t="s">
        <v>185</v>
      </c>
      <c r="I1" t="s">
        <v>179</v>
      </c>
      <c r="J1" s="146" t="s">
        <v>186</v>
      </c>
      <c r="K1" t="s">
        <v>194</v>
      </c>
      <c r="L1" s="143" t="s">
        <v>182</v>
      </c>
      <c r="M1" s="143" t="s">
        <v>183</v>
      </c>
      <c r="N1" t="s">
        <v>184</v>
      </c>
      <c r="O1" t="s">
        <v>199</v>
      </c>
      <c r="P1" t="s">
        <v>179</v>
      </c>
      <c r="Q1" t="s">
        <v>180</v>
      </c>
      <c r="R1" s="144" t="s">
        <v>181</v>
      </c>
    </row>
    <row r="2" spans="1:17" ht="12.75">
      <c r="A2" s="144" t="s">
        <v>206</v>
      </c>
      <c r="B2" s="142" t="s">
        <v>187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207</v>
      </c>
      <c r="B3" s="142"/>
      <c r="C3" s="142" t="s">
        <v>188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208</v>
      </c>
      <c r="B4" s="142"/>
      <c r="C4" s="142"/>
      <c r="D4" s="146" t="s">
        <v>189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191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190</v>
      </c>
      <c r="I6" s="142"/>
      <c r="K6" s="142"/>
      <c r="N6" s="142"/>
      <c r="O6" s="142"/>
      <c r="P6" s="142"/>
      <c r="Q6" s="142"/>
    </row>
    <row r="7" spans="2:18" ht="12.75">
      <c r="B7" s="142" t="s">
        <v>210</v>
      </c>
      <c r="C7" s="142" t="s">
        <v>210</v>
      </c>
      <c r="D7" s="146" t="s">
        <v>210</v>
      </c>
      <c r="E7" s="142"/>
      <c r="F7" s="142"/>
      <c r="G7" s="142" t="s">
        <v>210</v>
      </c>
      <c r="H7" s="142" t="s">
        <v>209</v>
      </c>
      <c r="I7" s="142" t="s">
        <v>192</v>
      </c>
      <c r="K7" s="142" t="s">
        <v>218</v>
      </c>
      <c r="N7" s="142" t="s">
        <v>195</v>
      </c>
      <c r="O7" s="142"/>
      <c r="P7" s="142"/>
      <c r="Q7" s="142"/>
      <c r="R7" s="144" t="s">
        <v>200</v>
      </c>
    </row>
    <row r="8" spans="2:17" ht="12.75">
      <c r="B8" s="142"/>
      <c r="C8" s="142"/>
      <c r="E8" s="142"/>
      <c r="F8" s="142"/>
      <c r="G8" s="142"/>
      <c r="H8" s="145" t="s">
        <v>211</v>
      </c>
      <c r="I8" s="142"/>
      <c r="K8" s="142" t="s">
        <v>193</v>
      </c>
      <c r="N8" s="142" t="s">
        <v>196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197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198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215</v>
      </c>
    </row>
    <row r="13" spans="2:20" ht="12.75">
      <c r="B13" t="s">
        <v>201</v>
      </c>
      <c r="T13" s="145" t="s">
        <v>216</v>
      </c>
    </row>
    <row r="14" spans="2:3" ht="12.75">
      <c r="B14" t="s">
        <v>202</v>
      </c>
      <c r="C14" t="s">
        <v>203</v>
      </c>
    </row>
    <row r="15" spans="4:20" ht="12.75">
      <c r="D15" s="146" t="s">
        <v>204</v>
      </c>
      <c r="T15" s="145" t="s">
        <v>217</v>
      </c>
    </row>
    <row r="16" ht="12.75">
      <c r="G16" t="s">
        <v>205</v>
      </c>
    </row>
    <row r="17" ht="12.75">
      <c r="H17" t="s">
        <v>205</v>
      </c>
    </row>
    <row r="18" ht="12.75">
      <c r="I18" t="s">
        <v>205</v>
      </c>
    </row>
    <row r="20" spans="8:15" ht="12.75">
      <c r="H20" t="s">
        <v>212</v>
      </c>
      <c r="O20" t="s">
        <v>212</v>
      </c>
    </row>
    <row r="21" spans="8:15" ht="12.75">
      <c r="H21" t="s">
        <v>214</v>
      </c>
      <c r="O21" t="s">
        <v>213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  <col min="8" max="8" width="11.57421875" style="0" customWidth="1"/>
  </cols>
  <sheetData>
    <row r="1" spans="1:2" ht="12.75">
      <c r="A1" s="181" t="s">
        <v>292</v>
      </c>
      <c r="B1" s="181"/>
    </row>
    <row r="3" spans="1:7" ht="12.75">
      <c r="A3" t="s">
        <v>282</v>
      </c>
      <c r="B3" s="97" t="s">
        <v>293</v>
      </c>
      <c r="C3" t="s">
        <v>284</v>
      </c>
      <c r="D3" t="s">
        <v>295</v>
      </c>
      <c r="E3" t="s">
        <v>294</v>
      </c>
      <c r="G3" t="s">
        <v>300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14" ht="12.75">
      <c r="A9">
        <v>6</v>
      </c>
      <c r="B9" s="41"/>
      <c r="C9" s="41"/>
      <c r="H9" s="10"/>
      <c r="I9" s="10"/>
      <c r="J9" s="10"/>
      <c r="K9" s="10"/>
      <c r="L9" s="10"/>
      <c r="M9" s="10"/>
      <c r="N9" s="10"/>
    </row>
    <row r="10" spans="1:14" ht="12.75">
      <c r="A10">
        <v>8</v>
      </c>
      <c r="B10" s="41"/>
      <c r="C10" s="41"/>
      <c r="H10" s="268" t="s">
        <v>469</v>
      </c>
      <c r="I10" s="268"/>
      <c r="N10" s="10"/>
    </row>
    <row r="11" spans="1:14" ht="12.75">
      <c r="A11">
        <v>9</v>
      </c>
      <c r="B11" s="41"/>
      <c r="C11" s="41"/>
      <c r="H11" s="272" t="s">
        <v>470</v>
      </c>
      <c r="I11" s="272" t="s">
        <v>471</v>
      </c>
      <c r="J11" s="275" t="s">
        <v>472</v>
      </c>
      <c r="K11" s="275" t="s">
        <v>478</v>
      </c>
      <c r="L11" s="280" t="s">
        <v>287</v>
      </c>
      <c r="N11" s="10"/>
    </row>
    <row r="12" spans="1:14" ht="12.75">
      <c r="A12">
        <v>10</v>
      </c>
      <c r="B12" s="41"/>
      <c r="C12" s="41">
        <v>200</v>
      </c>
      <c r="H12" s="272"/>
      <c r="I12" s="272">
        <v>200</v>
      </c>
      <c r="J12" s="15"/>
      <c r="N12" s="10"/>
    </row>
    <row r="13" spans="1:14" ht="12.75">
      <c r="A13">
        <v>11</v>
      </c>
      <c r="C13">
        <v>770</v>
      </c>
      <c r="H13" s="268">
        <v>14.03</v>
      </c>
      <c r="I13" s="268">
        <v>758</v>
      </c>
      <c r="J13" s="269"/>
      <c r="N13" s="10"/>
    </row>
    <row r="14" spans="1:14" ht="12.75">
      <c r="A14">
        <v>12</v>
      </c>
      <c r="C14">
        <v>0</v>
      </c>
      <c r="H14" s="268"/>
      <c r="I14" s="268">
        <v>0</v>
      </c>
      <c r="J14" s="268"/>
      <c r="N14" s="10"/>
    </row>
    <row r="15" spans="1:14" ht="12.75">
      <c r="A15">
        <v>13</v>
      </c>
      <c r="C15">
        <v>0</v>
      </c>
      <c r="H15" s="268"/>
      <c r="I15" s="268">
        <v>0</v>
      </c>
      <c r="J15" s="274">
        <v>839</v>
      </c>
      <c r="K15" s="276" t="s">
        <v>473</v>
      </c>
      <c r="N15" s="10"/>
    </row>
    <row r="16" spans="1:14" ht="12.75">
      <c r="A16">
        <v>14</v>
      </c>
      <c r="B16">
        <v>3.04</v>
      </c>
      <c r="C16">
        <v>1080</v>
      </c>
      <c r="D16" s="185" t="s">
        <v>24</v>
      </c>
      <c r="H16" s="268">
        <v>3.04</v>
      </c>
      <c r="I16" s="268">
        <f>151+929</f>
        <v>1080</v>
      </c>
      <c r="J16" s="270"/>
      <c r="K16" s="277"/>
      <c r="N16" s="10"/>
    </row>
    <row r="17" spans="1:14" ht="12.75">
      <c r="A17">
        <v>15</v>
      </c>
      <c r="C17">
        <v>0</v>
      </c>
      <c r="D17" s="185"/>
      <c r="H17" s="268"/>
      <c r="I17" s="268">
        <v>0</v>
      </c>
      <c r="J17" s="274">
        <v>1080</v>
      </c>
      <c r="K17" s="278" t="s">
        <v>474</v>
      </c>
      <c r="N17" s="10"/>
    </row>
    <row r="18" spans="1:14" ht="12.75">
      <c r="A18">
        <v>16</v>
      </c>
      <c r="B18">
        <v>18.04</v>
      </c>
      <c r="C18">
        <v>576</v>
      </c>
      <c r="D18" s="185" t="s">
        <v>24</v>
      </c>
      <c r="E18">
        <v>19.04</v>
      </c>
      <c r="H18" s="268">
        <v>18.04</v>
      </c>
      <c r="I18" s="268">
        <v>576</v>
      </c>
      <c r="J18" s="270"/>
      <c r="K18" s="277"/>
      <c r="N18" s="10"/>
    </row>
    <row r="19" spans="1:14" ht="12.75">
      <c r="A19">
        <v>17</v>
      </c>
      <c r="C19">
        <v>0</v>
      </c>
      <c r="D19" s="185"/>
      <c r="H19" s="268"/>
      <c r="I19" s="268">
        <v>0</v>
      </c>
      <c r="K19" s="277"/>
      <c r="N19" s="10"/>
    </row>
    <row r="20" spans="1:14" ht="12.75">
      <c r="A20">
        <v>18</v>
      </c>
      <c r="C20">
        <v>0</v>
      </c>
      <c r="D20" s="185"/>
      <c r="H20" s="268"/>
      <c r="I20" s="268">
        <v>0</v>
      </c>
      <c r="K20" s="277"/>
      <c r="N20" s="10"/>
    </row>
    <row r="21" spans="1:14" ht="12.75">
      <c r="A21">
        <v>19</v>
      </c>
      <c r="B21">
        <v>9.05</v>
      </c>
      <c r="C21">
        <v>688</v>
      </c>
      <c r="D21" s="185" t="s">
        <v>24</v>
      </c>
      <c r="E21">
        <v>10.05</v>
      </c>
      <c r="H21" s="268">
        <v>9.05</v>
      </c>
      <c r="I21" s="268">
        <v>688</v>
      </c>
      <c r="K21" s="277"/>
      <c r="L21" s="280"/>
      <c r="N21" s="10"/>
    </row>
    <row r="22" spans="1:14" ht="12.75">
      <c r="A22">
        <v>20</v>
      </c>
      <c r="B22">
        <v>16.05</v>
      </c>
      <c r="C22">
        <v>645</v>
      </c>
      <c r="D22" s="185" t="s">
        <v>24</v>
      </c>
      <c r="H22" s="268">
        <v>16.05</v>
      </c>
      <c r="I22" s="268">
        <v>645</v>
      </c>
      <c r="K22" s="277"/>
      <c r="L22" s="280"/>
      <c r="N22" s="10"/>
    </row>
    <row r="23" spans="1:14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281</v>
      </c>
      <c r="H23" s="268">
        <v>23.05</v>
      </c>
      <c r="I23" s="268">
        <v>898</v>
      </c>
      <c r="K23" s="277"/>
      <c r="L23" s="280"/>
      <c r="N23" s="10"/>
    </row>
    <row r="24" spans="1:14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281</v>
      </c>
      <c r="H24" s="268">
        <v>26.05</v>
      </c>
      <c r="I24" s="268">
        <v>480</v>
      </c>
      <c r="J24" s="274">
        <v>1903</v>
      </c>
      <c r="K24" s="277" t="s">
        <v>475</v>
      </c>
      <c r="L24" s="280"/>
      <c r="N24" s="10"/>
    </row>
    <row r="25" spans="1:14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315</v>
      </c>
      <c r="H25" s="268">
        <v>7.06</v>
      </c>
      <c r="I25" s="268">
        <v>700</v>
      </c>
      <c r="K25" s="277"/>
      <c r="L25" s="280"/>
      <c r="N25" s="10"/>
    </row>
    <row r="26" spans="1:14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345</v>
      </c>
      <c r="H26" s="268">
        <v>12.06</v>
      </c>
      <c r="I26" s="271">
        <v>689</v>
      </c>
      <c r="J26" s="15"/>
      <c r="K26" s="279"/>
      <c r="L26" s="281"/>
      <c r="M26" s="15"/>
      <c r="N26" s="10"/>
    </row>
    <row r="27" spans="1:14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345</v>
      </c>
      <c r="H27" s="268">
        <v>16.06</v>
      </c>
      <c r="I27" s="271">
        <v>405</v>
      </c>
      <c r="J27" s="274">
        <v>1378</v>
      </c>
      <c r="K27" s="279" t="s">
        <v>477</v>
      </c>
      <c r="L27" s="281">
        <v>5284</v>
      </c>
      <c r="M27" s="281" t="s">
        <v>480</v>
      </c>
      <c r="N27" s="10"/>
    </row>
    <row r="28" spans="1:14" ht="12.75">
      <c r="A28">
        <v>23</v>
      </c>
      <c r="B28" s="107" t="s">
        <v>323</v>
      </c>
      <c r="C28">
        <f>SUM(C12:C27)</f>
        <v>7131</v>
      </c>
      <c r="D28" s="185" t="s">
        <v>24</v>
      </c>
      <c r="G28" s="181">
        <f>C28/2</f>
        <v>3565.5</v>
      </c>
      <c r="H28" s="271">
        <v>17.07</v>
      </c>
      <c r="I28" s="271">
        <v>1000</v>
      </c>
      <c r="J28" s="274">
        <v>2789</v>
      </c>
      <c r="K28" s="277" t="s">
        <v>476</v>
      </c>
      <c r="L28" s="280">
        <v>2677</v>
      </c>
      <c r="M28" s="280" t="s">
        <v>481</v>
      </c>
      <c r="N28" s="10"/>
    </row>
    <row r="29" spans="8:14" ht="12.75">
      <c r="H29" s="10" t="s">
        <v>483</v>
      </c>
      <c r="I29" s="10">
        <f>SUM(I13:I28)</f>
        <v>7919</v>
      </c>
      <c r="J29" s="10">
        <f>SUM(J12:J28)</f>
        <v>7989</v>
      </c>
      <c r="K29" s="10"/>
      <c r="L29" s="282">
        <f>SUM(L12:L28)</f>
        <v>7961</v>
      </c>
      <c r="N29" s="10"/>
    </row>
    <row r="30" spans="1:14" ht="12.75">
      <c r="A30">
        <v>23</v>
      </c>
      <c r="B30" s="159" t="s">
        <v>287</v>
      </c>
      <c r="C30">
        <v>5326</v>
      </c>
      <c r="D30" s="185" t="s">
        <v>24</v>
      </c>
      <c r="E30" s="178" t="s">
        <v>286</v>
      </c>
      <c r="G30">
        <f>C30/2</f>
        <v>2663</v>
      </c>
      <c r="H30" s="283" t="s">
        <v>451</v>
      </c>
      <c r="I30" s="284">
        <v>25</v>
      </c>
      <c r="J30" s="284"/>
      <c r="N30" s="10"/>
    </row>
    <row r="31" spans="8:14" ht="12.75">
      <c r="H31" s="283" t="s">
        <v>482</v>
      </c>
      <c r="I31" s="284">
        <v>80</v>
      </c>
      <c r="N31" s="10"/>
    </row>
    <row r="32" spans="2:14" ht="12.75">
      <c r="B32" s="159" t="s">
        <v>297</v>
      </c>
      <c r="C32" s="159">
        <v>2019</v>
      </c>
      <c r="D32" s="185" t="s">
        <v>288</v>
      </c>
      <c r="G32">
        <f>C32/2</f>
        <v>1009.5</v>
      </c>
      <c r="H32" s="283" t="s">
        <v>479</v>
      </c>
      <c r="I32" s="285">
        <v>10</v>
      </c>
      <c r="N32" s="10"/>
    </row>
    <row r="33" spans="1:14" ht="12.75">
      <c r="A33">
        <v>23</v>
      </c>
      <c r="B33" s="159" t="s">
        <v>287</v>
      </c>
      <c r="C33">
        <f>2019+1903+898+480+700+689+405</f>
        <v>7094</v>
      </c>
      <c r="D33" s="185" t="s">
        <v>288</v>
      </c>
      <c r="E33" s="10" t="s">
        <v>316</v>
      </c>
      <c r="G33" s="181">
        <f>C33/2</f>
        <v>3547</v>
      </c>
      <c r="I33" s="10">
        <f>SUM(I30:I32)</f>
        <v>115</v>
      </c>
      <c r="N33" s="10"/>
    </row>
    <row r="34" spans="8:14" ht="12.75">
      <c r="H34" s="288" t="s">
        <v>484</v>
      </c>
      <c r="I34" s="286">
        <v>7919</v>
      </c>
      <c r="J34">
        <f>SUM(J15:J27)</f>
        <v>5200</v>
      </c>
      <c r="L34">
        <v>5284</v>
      </c>
      <c r="N34" s="10"/>
    </row>
    <row r="35" spans="9:14" ht="12.75">
      <c r="I35" s="272">
        <v>200</v>
      </c>
      <c r="J35">
        <v>2789</v>
      </c>
      <c r="L35">
        <v>2677</v>
      </c>
      <c r="N35" s="10"/>
    </row>
    <row r="36" spans="9:14" ht="12.75">
      <c r="I36" s="288">
        <f>7919+200</f>
        <v>8119</v>
      </c>
      <c r="J36">
        <f>+SUM(J34:J35)</f>
        <v>7989</v>
      </c>
      <c r="K36" s="4" t="s">
        <v>486</v>
      </c>
      <c r="L36" s="159">
        <f>SUM(L34:L35)</f>
        <v>7961</v>
      </c>
      <c r="N36" s="10"/>
    </row>
    <row r="37" spans="9:14" ht="12.75">
      <c r="I37" s="287">
        <f>8119-7961</f>
        <v>158</v>
      </c>
      <c r="K37" s="273">
        <f>7961-7989</f>
        <v>-28</v>
      </c>
      <c r="L37" t="s">
        <v>485</v>
      </c>
      <c r="N37" s="10"/>
    </row>
    <row r="38" spans="9:14" ht="12.75">
      <c r="I38" s="15"/>
      <c r="K38" s="4"/>
      <c r="L38" s="159">
        <f>7961+115</f>
        <v>8076</v>
      </c>
      <c r="N38" s="10"/>
    </row>
    <row r="39" spans="9:14" ht="12.75">
      <c r="I39" s="272"/>
      <c r="K39">
        <f>8076-8119</f>
        <v>-43</v>
      </c>
      <c r="N39" s="10"/>
    </row>
    <row r="40" spans="8:14" ht="12.75">
      <c r="H40" s="10"/>
      <c r="I40" s="10"/>
      <c r="J40" s="10"/>
      <c r="K40" s="10"/>
      <c r="L40" s="10"/>
      <c r="M40" s="10"/>
      <c r="N40" s="10"/>
    </row>
    <row r="41" spans="8:11" ht="12.75">
      <c r="H41" s="15"/>
      <c r="I41" s="15"/>
      <c r="J41" s="15"/>
      <c r="K41" s="15"/>
    </row>
    <row r="42" spans="8:11" ht="12.75">
      <c r="H42" s="15"/>
      <c r="I42" s="15"/>
      <c r="J42" s="15"/>
      <c r="K42" s="15"/>
    </row>
    <row r="43" spans="8:11" ht="12.75">
      <c r="H43" s="15"/>
      <c r="I43" s="15"/>
      <c r="J43" s="15"/>
      <c r="K43" s="15"/>
    </row>
    <row r="44" spans="1:2" ht="12.75">
      <c r="A44" t="s">
        <v>398</v>
      </c>
      <c r="B44" t="s">
        <v>399</v>
      </c>
    </row>
    <row r="45" ht="12.75">
      <c r="B45" t="s">
        <v>400</v>
      </c>
    </row>
    <row r="46" ht="12.75">
      <c r="B46" t="s">
        <v>401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workbookViewId="0" topLeftCell="A31">
      <pane xSplit="1" topLeftCell="H1" activePane="topRight" state="frozen"/>
      <selection pane="topLeft" activeCell="A31" sqref="A31"/>
      <selection pane="topRight" activeCell="R25" sqref="R25"/>
    </sheetView>
  </sheetViews>
  <sheetFormatPr defaultColWidth="9.140625" defaultRowHeight="12.75"/>
  <cols>
    <col min="1" max="1" width="45.7109375" style="41" customWidth="1"/>
    <col min="2" max="2" width="10.00390625" style="41" customWidth="1"/>
    <col min="3" max="4" width="11.7109375" style="41" customWidth="1"/>
    <col min="5" max="5" width="12.7109375" style="41" customWidth="1"/>
    <col min="6" max="6" width="9.8515625" style="41" customWidth="1"/>
    <col min="7" max="8" width="9.140625" style="41" customWidth="1"/>
    <col min="9" max="9" width="9.8515625" style="41" customWidth="1"/>
    <col min="10" max="10" width="11.140625" style="41" customWidth="1"/>
    <col min="11" max="16384" width="9.140625" style="41" customWidth="1"/>
  </cols>
  <sheetData>
    <row r="1" spans="1:18" ht="76.5">
      <c r="A1" s="33" t="s">
        <v>0</v>
      </c>
      <c r="B1" s="35" t="s">
        <v>39</v>
      </c>
      <c r="C1" s="35" t="s">
        <v>44</v>
      </c>
      <c r="D1" s="35" t="s">
        <v>43</v>
      </c>
      <c r="E1" s="165" t="s">
        <v>488</v>
      </c>
      <c r="F1" s="166" t="s">
        <v>554</v>
      </c>
      <c r="G1" s="264" t="s">
        <v>546</v>
      </c>
      <c r="H1" s="264" t="s">
        <v>547</v>
      </c>
      <c r="I1" s="264" t="s">
        <v>548</v>
      </c>
      <c r="J1" s="264" t="s">
        <v>444</v>
      </c>
      <c r="K1" s="264" t="s">
        <v>549</v>
      </c>
      <c r="L1" s="264" t="s">
        <v>557</v>
      </c>
      <c r="M1" s="35" t="s">
        <v>45</v>
      </c>
      <c r="N1" s="35" t="s">
        <v>42</v>
      </c>
      <c r="O1" s="37" t="s">
        <v>556</v>
      </c>
      <c r="P1" s="289" t="s">
        <v>545</v>
      </c>
      <c r="Q1" s="267" t="s">
        <v>452</v>
      </c>
      <c r="R1" s="267" t="s">
        <v>449</v>
      </c>
    </row>
    <row r="2" spans="1:16" ht="12.75">
      <c r="A2" s="41" t="s">
        <v>555</v>
      </c>
      <c r="B2" s="84"/>
      <c r="C2" s="84"/>
      <c r="D2" s="84"/>
      <c r="E2" s="311"/>
      <c r="F2" s="311" t="s">
        <v>271</v>
      </c>
      <c r="I2" s="41" t="s">
        <v>443</v>
      </c>
      <c r="K2" s="82"/>
      <c r="M2" s="85"/>
      <c r="O2" s="46"/>
      <c r="P2" s="46"/>
    </row>
    <row r="3" spans="1:16" ht="12.75">
      <c r="A3" s="306" t="s">
        <v>487</v>
      </c>
      <c r="B3" s="55"/>
      <c r="C3" s="55"/>
      <c r="D3" s="55"/>
      <c r="E3" s="52"/>
      <c r="F3" s="53"/>
      <c r="K3" s="304" t="s">
        <v>559</v>
      </c>
      <c r="M3" s="85"/>
      <c r="O3" s="56"/>
      <c r="P3" s="290" t="s">
        <v>489</v>
      </c>
    </row>
    <row r="4" spans="1:16" ht="12.75">
      <c r="A4" s="58"/>
      <c r="B4" s="55"/>
      <c r="C4" s="45">
        <v>4100</v>
      </c>
      <c r="D4" s="45">
        <f>$C4*5/100</f>
        <v>205</v>
      </c>
      <c r="E4" s="51"/>
      <c r="F4" s="52"/>
      <c r="M4" s="86">
        <v>350</v>
      </c>
      <c r="N4" s="88">
        <f>$M4*10/100</f>
        <v>35</v>
      </c>
      <c r="O4" s="87">
        <v>385</v>
      </c>
      <c r="P4" s="87"/>
    </row>
    <row r="5" spans="1:19" ht="12.75">
      <c r="A5" s="62" t="s">
        <v>61</v>
      </c>
      <c r="B5" s="65"/>
      <c r="C5" s="65"/>
      <c r="D5" s="65"/>
      <c r="E5" s="70"/>
      <c r="F5" s="67"/>
      <c r="G5" s="178"/>
      <c r="H5" s="178"/>
      <c r="I5" s="178"/>
      <c r="J5" s="178"/>
      <c r="K5" s="178"/>
      <c r="L5" s="178"/>
      <c r="M5" s="65"/>
      <c r="N5" s="178"/>
      <c r="O5" s="67"/>
      <c r="P5" s="67"/>
      <c r="Q5" s="178"/>
      <c r="R5" s="178"/>
      <c r="S5" s="178"/>
    </row>
    <row r="6" spans="1:18" ht="12.75">
      <c r="A6" s="74" t="s">
        <v>143</v>
      </c>
      <c r="B6" s="76">
        <v>1</v>
      </c>
      <c r="C6" s="45">
        <f>$C$4</f>
        <v>4100</v>
      </c>
      <c r="D6" s="45">
        <f>$C6*5/100</f>
        <v>205</v>
      </c>
      <c r="E6" s="47">
        <v>3773</v>
      </c>
      <c r="F6" s="202"/>
      <c r="G6" s="265">
        <f>SUM($E6,$F6,P6)</f>
        <v>3773</v>
      </c>
      <c r="H6" s="265">
        <f>SUM($G6)/$B6</f>
        <v>3773</v>
      </c>
      <c r="I6" s="265">
        <f>$G6/$B6/360</f>
        <v>10.480555555555556</v>
      </c>
      <c r="J6" s="81" t="s">
        <v>442</v>
      </c>
      <c r="K6" s="81" t="s">
        <v>447</v>
      </c>
      <c r="L6" s="308">
        <f>($H6-4305)*$B6</f>
        <v>-532</v>
      </c>
      <c r="M6" s="60"/>
      <c r="N6" s="81"/>
      <c r="O6" s="46"/>
      <c r="P6" s="46"/>
      <c r="Q6" s="81">
        <v>600</v>
      </c>
      <c r="R6" s="81" t="s">
        <v>91</v>
      </c>
    </row>
    <row r="7" spans="1:17" ht="12.75">
      <c r="A7" s="99" t="s">
        <v>144</v>
      </c>
      <c r="B7" s="84">
        <v>1</v>
      </c>
      <c r="C7" s="84"/>
      <c r="D7" s="84"/>
      <c r="E7" s="47">
        <v>203</v>
      </c>
      <c r="F7" s="91"/>
      <c r="G7" s="266">
        <f>SUM($E7,$F7,P7)</f>
        <v>203</v>
      </c>
      <c r="H7" s="266">
        <f aca="true" t="shared" si="0" ref="H7:H43">SUM($G7)/$B7</f>
        <v>203</v>
      </c>
      <c r="I7" s="266"/>
      <c r="M7" s="86">
        <v>350</v>
      </c>
      <c r="N7" s="88">
        <f>$M7*10/100</f>
        <v>35</v>
      </c>
      <c r="O7" s="307">
        <f>221+203-385</f>
        <v>39</v>
      </c>
      <c r="P7" s="87"/>
      <c r="Q7" s="82"/>
    </row>
    <row r="8" spans="1:20" ht="12.75">
      <c r="A8" s="81" t="s">
        <v>46</v>
      </c>
      <c r="B8" s="44">
        <v>1</v>
      </c>
      <c r="C8" s="45">
        <f>$C$4</f>
        <v>4100</v>
      </c>
      <c r="D8" s="45">
        <f>$C8*5/100</f>
        <v>205</v>
      </c>
      <c r="E8" s="47">
        <f>3818+207</f>
        <v>4025</v>
      </c>
      <c r="F8" s="202"/>
      <c r="G8" s="265">
        <f>SUM($E8,$F8,P8)</f>
        <v>4526</v>
      </c>
      <c r="H8" s="265">
        <f t="shared" si="0"/>
        <v>4526</v>
      </c>
      <c r="I8" s="265">
        <v>12</v>
      </c>
      <c r="J8" s="81" t="s">
        <v>551</v>
      </c>
      <c r="K8" s="304"/>
      <c r="L8" s="309">
        <f>($H8-4305)*$B8</f>
        <v>221</v>
      </c>
      <c r="M8" s="60"/>
      <c r="N8" s="47"/>
      <c r="O8" s="46"/>
      <c r="P8" s="290">
        <v>501</v>
      </c>
      <c r="Q8" s="81">
        <v>500</v>
      </c>
      <c r="R8" s="81" t="s">
        <v>91</v>
      </c>
      <c r="S8" s="322" t="s">
        <v>561</v>
      </c>
      <c r="T8" s="82"/>
    </row>
    <row r="9" spans="1:18" ht="12.75">
      <c r="A9" s="74" t="s">
        <v>146</v>
      </c>
      <c r="B9" s="44">
        <v>2</v>
      </c>
      <c r="C9" s="45">
        <f>$C$4</f>
        <v>4100</v>
      </c>
      <c r="D9" s="45">
        <f>$C9*5/100</f>
        <v>205</v>
      </c>
      <c r="E9" s="47">
        <f>5284+2677</f>
        <v>7961</v>
      </c>
      <c r="F9" s="202"/>
      <c r="G9" s="265">
        <f aca="true" t="shared" si="1" ref="G9:G43">SUM($E9,$F9,P9)</f>
        <v>8551</v>
      </c>
      <c r="H9" s="265">
        <f t="shared" si="0"/>
        <v>4275.5</v>
      </c>
      <c r="I9" s="265">
        <f>$G9/$B9/360</f>
        <v>11.876388888888888</v>
      </c>
      <c r="J9" s="81" t="s">
        <v>445</v>
      </c>
      <c r="K9" s="81" t="s">
        <v>550</v>
      </c>
      <c r="L9" s="308">
        <f>($H9-4305)*$B9</f>
        <v>-59</v>
      </c>
      <c r="M9" s="45"/>
      <c r="N9" s="81"/>
      <c r="O9" s="46"/>
      <c r="P9" s="290">
        <v>590</v>
      </c>
      <c r="Q9" s="81">
        <v>1550</v>
      </c>
      <c r="R9" s="81" t="s">
        <v>91</v>
      </c>
    </row>
    <row r="10" spans="1:17" ht="12.75">
      <c r="A10" s="99" t="s">
        <v>147</v>
      </c>
      <c r="B10" s="84">
        <v>1</v>
      </c>
      <c r="C10" s="84"/>
      <c r="D10" s="84"/>
      <c r="E10" s="82"/>
      <c r="F10" s="91"/>
      <c r="G10" s="266"/>
      <c r="H10" s="266"/>
      <c r="I10" s="266"/>
      <c r="M10" s="86">
        <v>350</v>
      </c>
      <c r="N10" s="88">
        <f>$M10*10/100</f>
        <v>35</v>
      </c>
      <c r="O10" s="179">
        <v>-385</v>
      </c>
      <c r="P10" s="87"/>
      <c r="Q10" s="82"/>
    </row>
    <row r="11" spans="1:18" ht="12.75">
      <c r="A11" s="81" t="s">
        <v>148</v>
      </c>
      <c r="B11" s="60">
        <v>61</v>
      </c>
      <c r="C11" s="45">
        <f>$C$4</f>
        <v>4100</v>
      </c>
      <c r="D11" s="45">
        <f>$C11*5/100</f>
        <v>205</v>
      </c>
      <c r="E11" s="47">
        <f>207000+3223</f>
        <v>210223</v>
      </c>
      <c r="F11" s="202"/>
      <c r="G11" s="265">
        <f t="shared" si="1"/>
        <v>210223</v>
      </c>
      <c r="H11" s="265">
        <f t="shared" si="0"/>
        <v>3446.27868852459</v>
      </c>
      <c r="I11" s="265">
        <f>$G11/$B11/360</f>
        <v>9.57299635701275</v>
      </c>
      <c r="J11" s="81" t="s">
        <v>442</v>
      </c>
      <c r="K11" s="81" t="s">
        <v>447</v>
      </c>
      <c r="L11" s="308">
        <f>($H11-4305)*$B11</f>
        <v>-52382.00000000001</v>
      </c>
      <c r="M11" s="45"/>
      <c r="N11" s="81"/>
      <c r="O11" s="46"/>
      <c r="P11" s="46"/>
      <c r="Q11" s="81">
        <v>60000</v>
      </c>
      <c r="R11" s="81" t="s">
        <v>91</v>
      </c>
    </row>
    <row r="12" spans="1:17" ht="12.75">
      <c r="A12" s="82" t="s">
        <v>335</v>
      </c>
      <c r="B12" s="86">
        <v>2</v>
      </c>
      <c r="C12" s="86"/>
      <c r="D12" s="86"/>
      <c r="E12" s="88"/>
      <c r="F12" s="91"/>
      <c r="G12" s="266"/>
      <c r="H12" s="266"/>
      <c r="I12" s="266"/>
      <c r="M12" s="86">
        <v>350</v>
      </c>
      <c r="N12" s="88">
        <f>$M12*10/100</f>
        <v>35</v>
      </c>
      <c r="O12" s="179">
        <f>-385*$B12</f>
        <v>-770</v>
      </c>
      <c r="P12" s="87"/>
      <c r="Q12" s="82"/>
    </row>
    <row r="13" spans="1:19" ht="12.75">
      <c r="A13" s="74" t="s">
        <v>20</v>
      </c>
      <c r="B13" s="44">
        <v>183</v>
      </c>
      <c r="C13" s="45">
        <f>$C$4</f>
        <v>4100</v>
      </c>
      <c r="D13" s="45">
        <f>$C13*5/100</f>
        <v>205</v>
      </c>
      <c r="E13" s="47">
        <f>346854+154876</f>
        <v>501730</v>
      </c>
      <c r="F13" s="202">
        <v>146395</v>
      </c>
      <c r="G13" s="265">
        <f t="shared" si="1"/>
        <v>779913</v>
      </c>
      <c r="H13" s="265">
        <f t="shared" si="0"/>
        <v>4261.819672131148</v>
      </c>
      <c r="I13" s="265">
        <f>$G13/$B13/360</f>
        <v>11.838387978142077</v>
      </c>
      <c r="J13" s="81" t="s">
        <v>445</v>
      </c>
      <c r="K13" s="81" t="s">
        <v>550</v>
      </c>
      <c r="L13" s="308">
        <f>($H13-4305)*$B13</f>
        <v>-7901.999999999943</v>
      </c>
      <c r="M13" s="60"/>
      <c r="N13" s="81"/>
      <c r="O13" s="46"/>
      <c r="P13" s="290">
        <v>131788</v>
      </c>
      <c r="Q13" s="81">
        <v>103700</v>
      </c>
      <c r="R13" s="81" t="s">
        <v>91</v>
      </c>
      <c r="S13" s="200">
        <f>-(94000+103700-169652)</f>
        <v>-28048</v>
      </c>
    </row>
    <row r="14" spans="1:17" ht="12.75">
      <c r="A14" s="99" t="s">
        <v>149</v>
      </c>
      <c r="B14" s="84">
        <v>9</v>
      </c>
      <c r="C14" s="85"/>
      <c r="D14" s="85"/>
      <c r="E14" s="88"/>
      <c r="F14" s="199">
        <v>90</v>
      </c>
      <c r="G14" s="266"/>
      <c r="H14" s="266"/>
      <c r="I14" s="266"/>
      <c r="M14" s="86">
        <v>350</v>
      </c>
      <c r="N14" s="88">
        <f>$M14*10/100</f>
        <v>35</v>
      </c>
      <c r="O14" s="179">
        <f>-385*$B14</f>
        <v>-3465</v>
      </c>
      <c r="P14" s="87"/>
      <c r="Q14" s="82"/>
    </row>
    <row r="15" spans="1:17" ht="12.75">
      <c r="A15" s="99" t="s">
        <v>150</v>
      </c>
      <c r="B15" s="84">
        <v>3</v>
      </c>
      <c r="C15" s="86"/>
      <c r="D15" s="84"/>
      <c r="E15" s="88"/>
      <c r="F15" s="91"/>
      <c r="G15" s="266"/>
      <c r="H15" s="266"/>
      <c r="I15" s="266"/>
      <c r="M15" s="86">
        <v>350</v>
      </c>
      <c r="N15" s="88">
        <f>$M15*10/100</f>
        <v>35</v>
      </c>
      <c r="O15" s="179">
        <f>-385*$B15</f>
        <v>-1155</v>
      </c>
      <c r="P15" s="87"/>
      <c r="Q15" s="82"/>
    </row>
    <row r="16" spans="1:18" ht="12.75">
      <c r="A16" s="74" t="s">
        <v>21</v>
      </c>
      <c r="B16" s="44">
        <v>6</v>
      </c>
      <c r="C16" s="45">
        <f>$C$4</f>
        <v>4100</v>
      </c>
      <c r="D16" s="45">
        <f>$C16*5/100</f>
        <v>205</v>
      </c>
      <c r="E16" s="47">
        <f>10604+13190</f>
        <v>23794</v>
      </c>
      <c r="F16" s="202">
        <v>2300</v>
      </c>
      <c r="G16" s="265">
        <f t="shared" si="1"/>
        <v>26094</v>
      </c>
      <c r="H16" s="265">
        <f t="shared" si="0"/>
        <v>4349</v>
      </c>
      <c r="I16" s="265">
        <f>$G16/$B16/360</f>
        <v>12.080555555555556</v>
      </c>
      <c r="J16" s="81" t="s">
        <v>551</v>
      </c>
      <c r="K16" s="304"/>
      <c r="L16" s="309">
        <f>($H16-4305)*$B16</f>
        <v>264</v>
      </c>
      <c r="M16" s="60"/>
      <c r="N16" s="81"/>
      <c r="O16" s="46"/>
      <c r="P16" s="87"/>
      <c r="Q16" s="81">
        <v>3400</v>
      </c>
      <c r="R16" s="81" t="s">
        <v>91</v>
      </c>
    </row>
    <row r="17" spans="1:19" ht="12.75">
      <c r="A17" s="74" t="s">
        <v>68</v>
      </c>
      <c r="B17" s="44">
        <v>1</v>
      </c>
      <c r="C17" s="45">
        <f>$C$4</f>
        <v>4100</v>
      </c>
      <c r="D17" s="45">
        <f>$C17*5/100</f>
        <v>205</v>
      </c>
      <c r="E17" s="47">
        <v>4003</v>
      </c>
      <c r="F17" s="202"/>
      <c r="G17" s="265">
        <f t="shared" si="1"/>
        <v>4659</v>
      </c>
      <c r="H17" s="265">
        <f t="shared" si="0"/>
        <v>4659</v>
      </c>
      <c r="I17" s="265">
        <v>12</v>
      </c>
      <c r="J17" s="81" t="s">
        <v>551</v>
      </c>
      <c r="K17" s="304"/>
      <c r="L17" s="309">
        <f>($H17-4305)*$B17</f>
        <v>354</v>
      </c>
      <c r="M17" s="86">
        <v>350</v>
      </c>
      <c r="N17" s="88">
        <f>$M17*10/100</f>
        <v>35</v>
      </c>
      <c r="O17" s="179">
        <f>-B17*(385-$L17)</f>
        <v>-31</v>
      </c>
      <c r="P17" s="290">
        <v>656</v>
      </c>
      <c r="Q17" s="81">
        <v>650</v>
      </c>
      <c r="R17" s="305" t="s">
        <v>91</v>
      </c>
      <c r="S17" s="321"/>
    </row>
    <row r="18" spans="1:18" ht="12.75">
      <c r="A18" s="74" t="s">
        <v>69</v>
      </c>
      <c r="B18" s="44">
        <v>1</v>
      </c>
      <c r="C18" s="45">
        <f>$C$4</f>
        <v>4100</v>
      </c>
      <c r="D18" s="45">
        <f>$C18*5/100</f>
        <v>205</v>
      </c>
      <c r="E18" s="47">
        <v>3590</v>
      </c>
      <c r="F18" s="202"/>
      <c r="G18" s="265">
        <f t="shared" si="1"/>
        <v>4390</v>
      </c>
      <c r="H18" s="265">
        <f t="shared" si="0"/>
        <v>4390</v>
      </c>
      <c r="I18" s="265">
        <f>$G18/$B18/360</f>
        <v>12.194444444444445</v>
      </c>
      <c r="J18" s="81" t="s">
        <v>551</v>
      </c>
      <c r="K18" s="304"/>
      <c r="L18" s="309">
        <f>($H18-4305)*$B18</f>
        <v>85</v>
      </c>
      <c r="M18" s="60"/>
      <c r="N18" s="81"/>
      <c r="O18" s="46"/>
      <c r="P18" s="290">
        <v>800</v>
      </c>
      <c r="Q18" s="81">
        <v>800</v>
      </c>
      <c r="R18" s="81" t="s">
        <v>91</v>
      </c>
    </row>
    <row r="19" spans="1:19" ht="12.75">
      <c r="A19" s="101" t="s">
        <v>22</v>
      </c>
      <c r="B19" s="65"/>
      <c r="C19" s="65"/>
      <c r="D19" s="102"/>
      <c r="E19" s="70"/>
      <c r="F19" s="67"/>
      <c r="G19" s="303"/>
      <c r="H19" s="303"/>
      <c r="I19" s="303"/>
      <c r="J19" s="178"/>
      <c r="K19" s="178"/>
      <c r="L19" s="178"/>
      <c r="M19" s="65"/>
      <c r="N19" s="178"/>
      <c r="O19" s="67"/>
      <c r="P19" s="67"/>
      <c r="Q19" s="178"/>
      <c r="R19" s="178"/>
      <c r="S19" s="178"/>
    </row>
    <row r="20" spans="1:18" ht="12.75">
      <c r="A20" s="74" t="s">
        <v>77</v>
      </c>
      <c r="B20" s="44">
        <v>4</v>
      </c>
      <c r="C20" s="45">
        <f>$C$4</f>
        <v>4100</v>
      </c>
      <c r="D20" s="262">
        <v>410</v>
      </c>
      <c r="E20" s="312">
        <v>14497</v>
      </c>
      <c r="F20" s="202"/>
      <c r="G20" s="265">
        <f t="shared" si="1"/>
        <v>18097</v>
      </c>
      <c r="H20" s="265">
        <f t="shared" si="0"/>
        <v>4524.25</v>
      </c>
      <c r="I20" s="265">
        <v>12</v>
      </c>
      <c r="J20" s="81" t="s">
        <v>551</v>
      </c>
      <c r="K20" s="304"/>
      <c r="L20" s="309">
        <f>($H20-4510)*$B20</f>
        <v>57</v>
      </c>
      <c r="M20" s="60"/>
      <c r="N20" s="81"/>
      <c r="O20" s="46"/>
      <c r="P20" s="290">
        <v>3600</v>
      </c>
      <c r="Q20" s="81">
        <v>3600</v>
      </c>
      <c r="R20" s="81" t="s">
        <v>91</v>
      </c>
    </row>
    <row r="21" spans="1:18" ht="12.75">
      <c r="A21" s="74" t="s">
        <v>78</v>
      </c>
      <c r="B21" s="44">
        <v>2</v>
      </c>
      <c r="C21" s="45">
        <f>$C$4</f>
        <v>4100</v>
      </c>
      <c r="D21" s="262">
        <v>410</v>
      </c>
      <c r="E21" s="312">
        <v>7207</v>
      </c>
      <c r="F21" s="202"/>
      <c r="G21" s="265">
        <f t="shared" si="1"/>
        <v>9314</v>
      </c>
      <c r="H21" s="265">
        <f t="shared" si="0"/>
        <v>4657</v>
      </c>
      <c r="I21" s="265">
        <v>12</v>
      </c>
      <c r="J21" s="81" t="s">
        <v>551</v>
      </c>
      <c r="K21" s="304"/>
      <c r="L21" s="309">
        <f>($H21-4510)*$B21</f>
        <v>294</v>
      </c>
      <c r="M21" s="60"/>
      <c r="N21" s="81"/>
      <c r="O21" s="46"/>
      <c r="P21" s="290">
        <v>2107</v>
      </c>
      <c r="Q21" s="81">
        <v>2200</v>
      </c>
      <c r="R21" s="81" t="s">
        <v>91</v>
      </c>
    </row>
    <row r="22" spans="1:19" ht="12.75">
      <c r="A22" s="101" t="s">
        <v>15</v>
      </c>
      <c r="B22" s="65"/>
      <c r="C22" s="65"/>
      <c r="D22" s="66"/>
      <c r="E22" s="70"/>
      <c r="F22" s="67"/>
      <c r="G22" s="303"/>
      <c r="H22" s="303"/>
      <c r="I22" s="303"/>
      <c r="J22" s="178"/>
      <c r="K22" s="178"/>
      <c r="L22" s="178"/>
      <c r="M22" s="66"/>
      <c r="N22" s="178"/>
      <c r="O22" s="178"/>
      <c r="P22" s="178"/>
      <c r="Q22" s="178"/>
      <c r="R22" s="178"/>
      <c r="S22" s="178"/>
    </row>
    <row r="23" spans="1:18" ht="12.75">
      <c r="A23" s="74" t="s">
        <v>48</v>
      </c>
      <c r="B23" s="44">
        <v>1</v>
      </c>
      <c r="C23" s="45">
        <f aca="true" t="shared" si="2" ref="C23:C28">$C$4</f>
        <v>4100</v>
      </c>
      <c r="D23" s="45">
        <f aca="true" t="shared" si="3" ref="D23:D28">$C23*5/100</f>
        <v>205</v>
      </c>
      <c r="E23" s="47">
        <v>3780</v>
      </c>
      <c r="F23" s="202">
        <v>600</v>
      </c>
      <c r="G23" s="265">
        <f t="shared" si="1"/>
        <v>4980</v>
      </c>
      <c r="H23" s="265">
        <f t="shared" si="0"/>
        <v>4980</v>
      </c>
      <c r="I23" s="265">
        <v>12</v>
      </c>
      <c r="J23" s="81" t="s">
        <v>551</v>
      </c>
      <c r="K23" s="304"/>
      <c r="L23" s="309">
        <f aca="true" t="shared" si="4" ref="L23:L37">($H23-4305)*$B23</f>
        <v>675</v>
      </c>
      <c r="M23" s="60"/>
      <c r="N23" s="81"/>
      <c r="O23" s="46"/>
      <c r="P23" s="290">
        <v>600</v>
      </c>
      <c r="Q23" s="81">
        <v>600</v>
      </c>
      <c r="R23" s="81" t="s">
        <v>450</v>
      </c>
    </row>
    <row r="24" spans="1:18" ht="12.75">
      <c r="A24" s="74" t="s">
        <v>50</v>
      </c>
      <c r="B24" s="76">
        <v>2</v>
      </c>
      <c r="C24" s="45">
        <f t="shared" si="2"/>
        <v>4100</v>
      </c>
      <c r="D24" s="45">
        <f t="shared" si="3"/>
        <v>205</v>
      </c>
      <c r="E24" s="47">
        <v>8128</v>
      </c>
      <c r="F24" s="202"/>
      <c r="G24" s="265">
        <f t="shared" si="1"/>
        <v>8214</v>
      </c>
      <c r="H24" s="265">
        <f t="shared" si="0"/>
        <v>4107</v>
      </c>
      <c r="I24" s="265">
        <f>$G24/$B24/360</f>
        <v>11.408333333333333</v>
      </c>
      <c r="J24" s="81" t="s">
        <v>445</v>
      </c>
      <c r="K24" s="81" t="s">
        <v>550</v>
      </c>
      <c r="L24" s="308">
        <f>($H24-4305)*$B24</f>
        <v>-396</v>
      </c>
      <c r="M24" s="60"/>
      <c r="N24" s="81"/>
      <c r="O24" s="46"/>
      <c r="P24" s="46">
        <v>86</v>
      </c>
      <c r="Q24" s="81">
        <v>420</v>
      </c>
      <c r="R24" s="81" t="s">
        <v>91</v>
      </c>
    </row>
    <row r="25" spans="1:18" ht="12.75">
      <c r="A25" s="74" t="s">
        <v>51</v>
      </c>
      <c r="B25" s="44">
        <v>2</v>
      </c>
      <c r="C25" s="45">
        <f t="shared" si="2"/>
        <v>4100</v>
      </c>
      <c r="D25" s="45">
        <f t="shared" si="3"/>
        <v>205</v>
      </c>
      <c r="E25" s="47">
        <f>8300+1000</f>
        <v>9300</v>
      </c>
      <c r="F25" s="202"/>
      <c r="G25" s="265">
        <f t="shared" si="1"/>
        <v>9300</v>
      </c>
      <c r="H25" s="265">
        <f t="shared" si="0"/>
        <v>4650</v>
      </c>
      <c r="I25" s="265">
        <v>12</v>
      </c>
      <c r="J25" s="81" t="s">
        <v>551</v>
      </c>
      <c r="K25" s="304"/>
      <c r="L25" s="309">
        <f t="shared" si="4"/>
        <v>690</v>
      </c>
      <c r="M25" s="86">
        <v>350</v>
      </c>
      <c r="N25" s="88">
        <f>$M25*10/100</f>
        <v>35</v>
      </c>
      <c r="O25" s="179">
        <f>-385*$B25</f>
        <v>-770</v>
      </c>
      <c r="P25" s="46"/>
      <c r="Q25" s="81">
        <v>0</v>
      </c>
      <c r="R25" s="81"/>
    </row>
    <row r="26" spans="1:18" ht="12.75">
      <c r="A26" s="107" t="s">
        <v>97</v>
      </c>
      <c r="B26" s="44">
        <v>4</v>
      </c>
      <c r="C26" s="45">
        <f t="shared" si="2"/>
        <v>4100</v>
      </c>
      <c r="D26" s="262">
        <f>$C26*30/100</f>
        <v>1230</v>
      </c>
      <c r="E26" s="47">
        <v>16400</v>
      </c>
      <c r="F26" s="202">
        <v>3000</v>
      </c>
      <c r="G26" s="265">
        <f t="shared" si="1"/>
        <v>19400</v>
      </c>
      <c r="H26" s="265">
        <f t="shared" si="0"/>
        <v>4850</v>
      </c>
      <c r="I26" s="265">
        <v>12</v>
      </c>
      <c r="J26" s="81" t="s">
        <v>551</v>
      </c>
      <c r="K26" s="175"/>
      <c r="L26" s="308">
        <f>($H26-6330)*$B26</f>
        <v>-5920</v>
      </c>
      <c r="M26" s="86">
        <v>350</v>
      </c>
      <c r="N26" s="88">
        <f>$M26*30/100</f>
        <v>105</v>
      </c>
      <c r="O26" s="179">
        <f>-455*$B26</f>
        <v>-1820</v>
      </c>
      <c r="P26" s="46"/>
      <c r="Q26" s="81">
        <v>3000</v>
      </c>
      <c r="R26" s="81" t="s">
        <v>24</v>
      </c>
    </row>
    <row r="27" spans="1:18" ht="12.75">
      <c r="A27" s="74" t="s">
        <v>55</v>
      </c>
      <c r="B27" s="44">
        <v>18</v>
      </c>
      <c r="C27" s="45">
        <f t="shared" si="2"/>
        <v>4100</v>
      </c>
      <c r="D27" s="45">
        <f t="shared" si="3"/>
        <v>205</v>
      </c>
      <c r="E27" s="47">
        <v>73100</v>
      </c>
      <c r="F27" s="202">
        <v>9200</v>
      </c>
      <c r="G27" s="265">
        <f t="shared" si="1"/>
        <v>85100</v>
      </c>
      <c r="H27" s="265">
        <f t="shared" si="0"/>
        <v>4727.777777777777</v>
      </c>
      <c r="I27" s="265">
        <v>12</v>
      </c>
      <c r="J27" s="81" t="s">
        <v>551</v>
      </c>
      <c r="K27" s="304"/>
      <c r="L27" s="309">
        <f t="shared" si="4"/>
        <v>7609.999999999993</v>
      </c>
      <c r="M27" s="86">
        <v>350</v>
      </c>
      <c r="N27" s="88">
        <f>$M27*10/100</f>
        <v>35</v>
      </c>
      <c r="O27" s="179">
        <f>-385*$B27</f>
        <v>-6930</v>
      </c>
      <c r="P27" s="290">
        <v>2800</v>
      </c>
      <c r="Q27" s="81">
        <v>11300</v>
      </c>
      <c r="R27" s="81" t="s">
        <v>24</v>
      </c>
    </row>
    <row r="28" spans="1:18" ht="12.75">
      <c r="A28" s="109" t="s">
        <v>37</v>
      </c>
      <c r="B28" s="44">
        <v>6</v>
      </c>
      <c r="C28" s="45">
        <f t="shared" si="2"/>
        <v>4100</v>
      </c>
      <c r="D28" s="45">
        <f t="shared" si="3"/>
        <v>205</v>
      </c>
      <c r="E28" s="47">
        <f>45600</f>
        <v>45600</v>
      </c>
      <c r="F28" s="202"/>
      <c r="G28" s="265">
        <f t="shared" si="1"/>
        <v>45600</v>
      </c>
      <c r="H28" s="265">
        <f t="shared" si="0"/>
        <v>7600</v>
      </c>
      <c r="I28" s="265">
        <f>$G28/$B28/360</f>
        <v>21.11111111111111</v>
      </c>
      <c r="J28" s="81" t="s">
        <v>551</v>
      </c>
      <c r="K28" s="304"/>
      <c r="L28" s="309">
        <f t="shared" si="4"/>
        <v>19770</v>
      </c>
      <c r="M28" s="86">
        <v>350</v>
      </c>
      <c r="N28" s="88">
        <f>$M28*10/100</f>
        <v>35</v>
      </c>
      <c r="O28" s="179">
        <f>-385*$B28</f>
        <v>-2310</v>
      </c>
      <c r="P28" s="46"/>
      <c r="Q28" s="81"/>
      <c r="R28" s="81"/>
    </row>
    <row r="29" spans="1:19" ht="12.75">
      <c r="A29" s="101" t="s">
        <v>25</v>
      </c>
      <c r="B29" s="116"/>
      <c r="C29" s="116"/>
      <c r="D29" s="117"/>
      <c r="E29" s="122"/>
      <c r="F29" s="121"/>
      <c r="G29" s="303"/>
      <c r="H29" s="303"/>
      <c r="I29" s="303"/>
      <c r="J29" s="178"/>
      <c r="K29" s="178"/>
      <c r="L29" s="178"/>
      <c r="M29" s="178"/>
      <c r="N29" s="178"/>
      <c r="O29" s="178"/>
      <c r="P29" s="178"/>
      <c r="Q29" s="178"/>
      <c r="R29" s="178"/>
      <c r="S29" s="178"/>
    </row>
    <row r="30" spans="1:18" ht="12.75">
      <c r="A30" s="109" t="s">
        <v>85</v>
      </c>
      <c r="B30" s="110">
        <v>1</v>
      </c>
      <c r="C30" s="45">
        <f aca="true" t="shared" si="5" ref="C30:C43">$C$4</f>
        <v>4100</v>
      </c>
      <c r="D30" s="45">
        <f aca="true" t="shared" si="6" ref="D30:D43">$C30*5/100</f>
        <v>205</v>
      </c>
      <c r="E30" s="47">
        <v>4080</v>
      </c>
      <c r="F30" s="202"/>
      <c r="G30" s="265">
        <f t="shared" si="1"/>
        <v>4680</v>
      </c>
      <c r="H30" s="265">
        <f t="shared" si="0"/>
        <v>4680</v>
      </c>
      <c r="I30" s="265">
        <v>12</v>
      </c>
      <c r="J30" s="81" t="s">
        <v>551</v>
      </c>
      <c r="K30" s="304"/>
      <c r="L30" s="309">
        <f t="shared" si="4"/>
        <v>375</v>
      </c>
      <c r="M30" s="41">
        <v>350</v>
      </c>
      <c r="N30" s="88">
        <f aca="true" t="shared" si="7" ref="N30:N43">$M30*10/100</f>
        <v>35</v>
      </c>
      <c r="O30" s="179">
        <f aca="true" t="shared" si="8" ref="O30:O35">-385*$B30</f>
        <v>-385</v>
      </c>
      <c r="P30" s="290">
        <v>600</v>
      </c>
      <c r="Q30" s="81">
        <v>600</v>
      </c>
      <c r="R30" s="81" t="s">
        <v>91</v>
      </c>
    </row>
    <row r="31" spans="1:18" ht="12.75">
      <c r="A31" s="109" t="s">
        <v>86</v>
      </c>
      <c r="B31" s="110">
        <v>1</v>
      </c>
      <c r="C31" s="45">
        <f t="shared" si="5"/>
        <v>4100</v>
      </c>
      <c r="D31" s="45">
        <f t="shared" si="6"/>
        <v>205</v>
      </c>
      <c r="E31" s="47">
        <f>4080+14</f>
        <v>4094</v>
      </c>
      <c r="F31" s="202"/>
      <c r="G31" s="265">
        <f t="shared" si="1"/>
        <v>4754</v>
      </c>
      <c r="H31" s="265">
        <f t="shared" si="0"/>
        <v>4754</v>
      </c>
      <c r="I31" s="265">
        <v>12</v>
      </c>
      <c r="J31" s="81" t="s">
        <v>551</v>
      </c>
      <c r="K31" s="304"/>
      <c r="L31" s="309">
        <f t="shared" si="4"/>
        <v>449</v>
      </c>
      <c r="M31" s="41">
        <v>350</v>
      </c>
      <c r="N31" s="88">
        <f t="shared" si="7"/>
        <v>35</v>
      </c>
      <c r="O31" s="179">
        <f t="shared" si="8"/>
        <v>-385</v>
      </c>
      <c r="P31" s="290">
        <v>660</v>
      </c>
      <c r="Q31" s="81">
        <v>650</v>
      </c>
      <c r="R31" s="81" t="s">
        <v>91</v>
      </c>
    </row>
    <row r="32" spans="1:18" ht="12.75">
      <c r="A32" s="109" t="s">
        <v>34</v>
      </c>
      <c r="B32" s="110">
        <v>3</v>
      </c>
      <c r="C32" s="45">
        <f t="shared" si="5"/>
        <v>4100</v>
      </c>
      <c r="D32" s="45">
        <f t="shared" si="6"/>
        <v>205</v>
      </c>
      <c r="E32" s="47">
        <f>11432+70</f>
        <v>11502</v>
      </c>
      <c r="F32" s="202"/>
      <c r="G32" s="265">
        <f t="shared" si="1"/>
        <v>13622</v>
      </c>
      <c r="H32" s="265">
        <f t="shared" si="0"/>
        <v>4540.666666666667</v>
      </c>
      <c r="I32" s="265">
        <v>12</v>
      </c>
      <c r="J32" s="81" t="s">
        <v>551</v>
      </c>
      <c r="K32" s="304"/>
      <c r="L32" s="309">
        <f t="shared" si="4"/>
        <v>707.0000000000009</v>
      </c>
      <c r="M32" s="41">
        <v>350</v>
      </c>
      <c r="N32" s="88">
        <f t="shared" si="7"/>
        <v>35</v>
      </c>
      <c r="O32" s="179">
        <f t="shared" si="8"/>
        <v>-1155</v>
      </c>
      <c r="P32" s="290">
        <v>2120</v>
      </c>
      <c r="Q32" s="81" t="s">
        <v>455</v>
      </c>
      <c r="R32" s="81" t="s">
        <v>91</v>
      </c>
    </row>
    <row r="33" spans="1:18" ht="12.75">
      <c r="A33" s="109" t="s">
        <v>36</v>
      </c>
      <c r="B33" s="110">
        <v>3</v>
      </c>
      <c r="C33" s="45">
        <f t="shared" si="5"/>
        <v>4100</v>
      </c>
      <c r="D33" s="45">
        <f t="shared" si="6"/>
        <v>205</v>
      </c>
      <c r="E33" s="47">
        <f>9530+1910</f>
        <v>11440</v>
      </c>
      <c r="F33" s="202"/>
      <c r="G33" s="265">
        <f t="shared" si="1"/>
        <v>13540</v>
      </c>
      <c r="H33" s="265">
        <f t="shared" si="0"/>
        <v>4513.333333333333</v>
      </c>
      <c r="I33" s="265">
        <v>12</v>
      </c>
      <c r="J33" s="81" t="s">
        <v>551</v>
      </c>
      <c r="K33" s="304"/>
      <c r="L33" s="309">
        <f t="shared" si="4"/>
        <v>624.9999999999991</v>
      </c>
      <c r="M33" s="41">
        <v>350</v>
      </c>
      <c r="N33" s="88">
        <f t="shared" si="7"/>
        <v>35</v>
      </c>
      <c r="O33" s="179">
        <f t="shared" si="8"/>
        <v>-1155</v>
      </c>
      <c r="P33" s="290">
        <v>2100</v>
      </c>
      <c r="Q33" s="81" t="s">
        <v>456</v>
      </c>
      <c r="R33" s="81" t="s">
        <v>91</v>
      </c>
    </row>
    <row r="34" spans="1:18" ht="12.75">
      <c r="A34" s="109" t="s">
        <v>37</v>
      </c>
      <c r="B34" s="110">
        <v>6</v>
      </c>
      <c r="C34" s="45">
        <f t="shared" si="5"/>
        <v>4100</v>
      </c>
      <c r="D34" s="45">
        <f t="shared" si="6"/>
        <v>205</v>
      </c>
      <c r="E34" s="47">
        <f>24000+2000</f>
        <v>26000</v>
      </c>
      <c r="F34" s="202"/>
      <c r="G34" s="265">
        <f t="shared" si="1"/>
        <v>26000</v>
      </c>
      <c r="H34" s="265">
        <f t="shared" si="0"/>
        <v>4333.333333333333</v>
      </c>
      <c r="I34" s="265">
        <f>$G34/$B34/360</f>
        <v>12.037037037037036</v>
      </c>
      <c r="J34" s="81" t="s">
        <v>551</v>
      </c>
      <c r="K34" s="304"/>
      <c r="L34" s="309">
        <f t="shared" si="4"/>
        <v>169.99999999999818</v>
      </c>
      <c r="M34" s="41">
        <v>350</v>
      </c>
      <c r="N34" s="88">
        <f t="shared" si="7"/>
        <v>35</v>
      </c>
      <c r="O34" s="179">
        <f t="shared" si="8"/>
        <v>-2310</v>
      </c>
      <c r="P34" s="46"/>
      <c r="Q34" s="81"/>
      <c r="R34" s="81"/>
    </row>
    <row r="35" spans="1:18" ht="12.75">
      <c r="A35" s="109" t="s">
        <v>38</v>
      </c>
      <c r="B35" s="110">
        <v>3</v>
      </c>
      <c r="C35" s="45">
        <f t="shared" si="5"/>
        <v>4100</v>
      </c>
      <c r="D35" s="45">
        <f t="shared" si="6"/>
        <v>205</v>
      </c>
      <c r="E35" s="47">
        <v>24400</v>
      </c>
      <c r="F35" s="202"/>
      <c r="G35" s="265">
        <f t="shared" si="1"/>
        <v>24400</v>
      </c>
      <c r="H35" s="265">
        <f t="shared" si="0"/>
        <v>8133.333333333333</v>
      </c>
      <c r="I35" s="265">
        <f>$G35/$B35/360</f>
        <v>22.59259259259259</v>
      </c>
      <c r="J35" s="81" t="s">
        <v>551</v>
      </c>
      <c r="K35" s="304"/>
      <c r="L35" s="309">
        <f t="shared" si="4"/>
        <v>11485</v>
      </c>
      <c r="M35" s="41">
        <v>350</v>
      </c>
      <c r="N35" s="88">
        <f t="shared" si="7"/>
        <v>35</v>
      </c>
      <c r="O35" s="179">
        <f t="shared" si="8"/>
        <v>-1155</v>
      </c>
      <c r="P35" s="46"/>
      <c r="Q35" s="81"/>
      <c r="R35" s="81"/>
    </row>
    <row r="36" spans="1:18" ht="12.75">
      <c r="A36" s="109" t="s">
        <v>40</v>
      </c>
      <c r="B36" s="110">
        <v>2</v>
      </c>
      <c r="C36" s="45">
        <f t="shared" si="5"/>
        <v>4100</v>
      </c>
      <c r="D36" s="45">
        <f t="shared" si="6"/>
        <v>205</v>
      </c>
      <c r="E36" s="47">
        <f>4200+2000</f>
        <v>6200</v>
      </c>
      <c r="F36" s="202"/>
      <c r="G36" s="265">
        <f t="shared" si="1"/>
        <v>7200</v>
      </c>
      <c r="H36" s="265">
        <f t="shared" si="0"/>
        <v>3600</v>
      </c>
      <c r="I36" s="265">
        <f>$G36/$B36/360</f>
        <v>10</v>
      </c>
      <c r="J36" s="81" t="s">
        <v>442</v>
      </c>
      <c r="K36" s="81" t="s">
        <v>447</v>
      </c>
      <c r="L36" s="308">
        <f>($H36-4305)*$B36</f>
        <v>-1410</v>
      </c>
      <c r="M36" s="41">
        <v>350</v>
      </c>
      <c r="N36" s="88">
        <f>$M36*30/100</f>
        <v>105</v>
      </c>
      <c r="O36" s="179">
        <f>-455*$B36</f>
        <v>-910</v>
      </c>
      <c r="P36" s="290">
        <v>1000</v>
      </c>
      <c r="Q36" s="81"/>
      <c r="R36" s="305" t="s">
        <v>24</v>
      </c>
    </row>
    <row r="37" spans="1:18" ht="12.75">
      <c r="A37" s="107" t="s">
        <v>8</v>
      </c>
      <c r="B37" s="76">
        <v>2</v>
      </c>
      <c r="C37" s="45">
        <f t="shared" si="5"/>
        <v>4100</v>
      </c>
      <c r="D37" s="45">
        <f t="shared" si="6"/>
        <v>205</v>
      </c>
      <c r="E37" s="47">
        <v>8200</v>
      </c>
      <c r="F37" s="202">
        <v>600</v>
      </c>
      <c r="G37" s="265">
        <f t="shared" si="1"/>
        <v>9400</v>
      </c>
      <c r="H37" s="265">
        <f t="shared" si="0"/>
        <v>4700</v>
      </c>
      <c r="I37" s="265">
        <v>12</v>
      </c>
      <c r="J37" s="81" t="s">
        <v>551</v>
      </c>
      <c r="K37" s="304"/>
      <c r="L37" s="309">
        <f t="shared" si="4"/>
        <v>790</v>
      </c>
      <c r="M37" s="41">
        <v>350</v>
      </c>
      <c r="N37" s="88">
        <f t="shared" si="7"/>
        <v>35</v>
      </c>
      <c r="O37" s="179">
        <f aca="true" t="shared" si="9" ref="O37:O43">-385*$B37</f>
        <v>-770</v>
      </c>
      <c r="P37" s="290">
        <v>600</v>
      </c>
      <c r="Q37" s="81">
        <v>1200</v>
      </c>
      <c r="R37" s="81" t="s">
        <v>24</v>
      </c>
    </row>
    <row r="38" spans="1:18" ht="12.75">
      <c r="A38" s="107" t="s">
        <v>10</v>
      </c>
      <c r="B38" s="76">
        <v>1</v>
      </c>
      <c r="C38" s="45">
        <f t="shared" si="5"/>
        <v>4100</v>
      </c>
      <c r="D38" s="45">
        <f t="shared" si="6"/>
        <v>205</v>
      </c>
      <c r="E38" s="47">
        <v>4100</v>
      </c>
      <c r="F38" s="202">
        <v>700</v>
      </c>
      <c r="G38" s="265">
        <f t="shared" si="1"/>
        <v>4800</v>
      </c>
      <c r="H38" s="265">
        <f t="shared" si="0"/>
        <v>4800</v>
      </c>
      <c r="I38" s="265">
        <f>$G38/$B38/360</f>
        <v>13.333333333333334</v>
      </c>
      <c r="J38" s="81" t="s">
        <v>551</v>
      </c>
      <c r="K38" s="304"/>
      <c r="L38" s="309">
        <f>($H38-4305)*$B38</f>
        <v>495</v>
      </c>
      <c r="M38" s="41">
        <v>350</v>
      </c>
      <c r="N38" s="88">
        <f t="shared" si="7"/>
        <v>35</v>
      </c>
      <c r="O38" s="179">
        <f t="shared" si="9"/>
        <v>-385</v>
      </c>
      <c r="P38" s="46"/>
      <c r="Q38" s="81">
        <v>700</v>
      </c>
      <c r="R38" s="81" t="s">
        <v>24</v>
      </c>
    </row>
    <row r="39" spans="1:18" ht="12.75">
      <c r="A39" s="107" t="s">
        <v>98</v>
      </c>
      <c r="B39" s="76">
        <v>1</v>
      </c>
      <c r="C39" s="45">
        <f t="shared" si="5"/>
        <v>4100</v>
      </c>
      <c r="D39" s="45">
        <f t="shared" si="6"/>
        <v>205</v>
      </c>
      <c r="E39" s="47">
        <v>4100</v>
      </c>
      <c r="F39" s="202">
        <v>700</v>
      </c>
      <c r="G39" s="265">
        <f t="shared" si="1"/>
        <v>4800</v>
      </c>
      <c r="H39" s="265">
        <f t="shared" si="0"/>
        <v>4800</v>
      </c>
      <c r="I39" s="265">
        <f>$G39/$B39/360</f>
        <v>13.333333333333334</v>
      </c>
      <c r="J39" s="81" t="s">
        <v>551</v>
      </c>
      <c r="K39" s="304"/>
      <c r="L39" s="309">
        <f>($H39-4305)*$B39</f>
        <v>495</v>
      </c>
      <c r="M39" s="41">
        <v>350</v>
      </c>
      <c r="N39" s="88">
        <f t="shared" si="7"/>
        <v>35</v>
      </c>
      <c r="O39" s="179">
        <f t="shared" si="9"/>
        <v>-385</v>
      </c>
      <c r="P39" s="46"/>
      <c r="Q39" s="81">
        <v>700</v>
      </c>
      <c r="R39" s="81" t="s">
        <v>24</v>
      </c>
    </row>
    <row r="40" spans="1:18" ht="12.75">
      <c r="A40" s="107" t="s">
        <v>99</v>
      </c>
      <c r="B40" s="76">
        <v>1</v>
      </c>
      <c r="C40" s="45">
        <f t="shared" si="5"/>
        <v>4100</v>
      </c>
      <c r="D40" s="45">
        <f t="shared" si="6"/>
        <v>205</v>
      </c>
      <c r="E40" s="47">
        <v>4100</v>
      </c>
      <c r="F40" s="202">
        <v>800</v>
      </c>
      <c r="G40" s="265">
        <f t="shared" si="1"/>
        <v>4900</v>
      </c>
      <c r="H40" s="265">
        <f t="shared" si="0"/>
        <v>4900</v>
      </c>
      <c r="I40" s="265">
        <f>$G40/$B40/360</f>
        <v>13.61111111111111</v>
      </c>
      <c r="J40" s="81" t="s">
        <v>551</v>
      </c>
      <c r="K40" s="304"/>
      <c r="L40" s="309">
        <f>($H40-4305)*$B40</f>
        <v>595</v>
      </c>
      <c r="M40" s="41">
        <v>350</v>
      </c>
      <c r="N40" s="88">
        <f t="shared" si="7"/>
        <v>35</v>
      </c>
      <c r="O40" s="179">
        <f t="shared" si="9"/>
        <v>-385</v>
      </c>
      <c r="P40" s="46"/>
      <c r="Q40" s="81">
        <v>800</v>
      </c>
      <c r="R40" s="81" t="s">
        <v>451</v>
      </c>
    </row>
    <row r="41" spans="1:18" ht="12.75">
      <c r="A41" s="305" t="s">
        <v>100</v>
      </c>
      <c r="B41" s="76">
        <v>0.15</v>
      </c>
      <c r="C41" s="45">
        <f t="shared" si="5"/>
        <v>4100</v>
      </c>
      <c r="D41" s="45">
        <f t="shared" si="6"/>
        <v>205</v>
      </c>
      <c r="E41" s="257">
        <v>200</v>
      </c>
      <c r="F41" s="202"/>
      <c r="G41" s="265">
        <f t="shared" si="1"/>
        <v>200</v>
      </c>
      <c r="H41" s="265"/>
      <c r="I41" s="310"/>
      <c r="J41" s="175"/>
      <c r="K41" s="175"/>
      <c r="L41" s="175"/>
      <c r="M41" s="41">
        <v>350</v>
      </c>
      <c r="N41" s="88">
        <f t="shared" si="7"/>
        <v>35</v>
      </c>
      <c r="O41" s="179">
        <f t="shared" si="9"/>
        <v>-57.75</v>
      </c>
      <c r="P41" s="290" t="s">
        <v>558</v>
      </c>
      <c r="Q41" s="175"/>
      <c r="R41" s="81" t="s">
        <v>458</v>
      </c>
    </row>
    <row r="42" spans="1:18" ht="12.75">
      <c r="A42" s="107" t="s">
        <v>13</v>
      </c>
      <c r="B42" s="76">
        <v>1</v>
      </c>
      <c r="C42" s="45">
        <f t="shared" si="5"/>
        <v>4100</v>
      </c>
      <c r="D42" s="45">
        <f t="shared" si="6"/>
        <v>205</v>
      </c>
      <c r="E42" s="47">
        <v>4100</v>
      </c>
      <c r="F42" s="202"/>
      <c r="G42" s="265">
        <f t="shared" si="1"/>
        <v>4700</v>
      </c>
      <c r="H42" s="265">
        <f t="shared" si="0"/>
        <v>4700</v>
      </c>
      <c r="I42" s="265">
        <v>12</v>
      </c>
      <c r="J42" s="81" t="s">
        <v>551</v>
      </c>
      <c r="K42" s="304"/>
      <c r="L42" s="309">
        <f>($H42-4305)*$B42</f>
        <v>395</v>
      </c>
      <c r="M42" s="41">
        <v>350</v>
      </c>
      <c r="N42" s="88">
        <f t="shared" si="7"/>
        <v>35</v>
      </c>
      <c r="O42" s="179">
        <f t="shared" si="9"/>
        <v>-385</v>
      </c>
      <c r="P42" s="290">
        <v>600</v>
      </c>
      <c r="Q42" s="81">
        <v>600</v>
      </c>
      <c r="R42" s="81" t="s">
        <v>451</v>
      </c>
    </row>
    <row r="43" spans="1:18" ht="12.75">
      <c r="A43" s="107" t="s">
        <v>14</v>
      </c>
      <c r="B43" s="76">
        <v>1</v>
      </c>
      <c r="C43" s="45">
        <f t="shared" si="5"/>
        <v>4100</v>
      </c>
      <c r="D43" s="45">
        <f t="shared" si="6"/>
        <v>205</v>
      </c>
      <c r="E43" s="47">
        <v>4100</v>
      </c>
      <c r="F43" s="202"/>
      <c r="G43" s="265">
        <f t="shared" si="1"/>
        <v>4700</v>
      </c>
      <c r="H43" s="265">
        <f t="shared" si="0"/>
        <v>4700</v>
      </c>
      <c r="I43" s="265">
        <v>12</v>
      </c>
      <c r="J43" s="81" t="s">
        <v>551</v>
      </c>
      <c r="K43" s="304"/>
      <c r="L43" s="309">
        <f>($H43-4305)*$B43</f>
        <v>395</v>
      </c>
      <c r="M43" s="41">
        <v>350</v>
      </c>
      <c r="N43" s="88">
        <f t="shared" si="7"/>
        <v>35</v>
      </c>
      <c r="O43" s="179">
        <f t="shared" si="9"/>
        <v>-385</v>
      </c>
      <c r="P43" s="290">
        <v>600</v>
      </c>
      <c r="Q43" s="81">
        <v>600</v>
      </c>
      <c r="R43" s="81" t="s">
        <v>451</v>
      </c>
    </row>
    <row r="44" ht="12.75">
      <c r="D44" s="263" t="s">
        <v>441</v>
      </c>
    </row>
    <row r="45" spans="1:19" ht="63.75">
      <c r="A45" s="33" t="s">
        <v>0</v>
      </c>
      <c r="B45" s="35" t="s">
        <v>39</v>
      </c>
      <c r="C45" s="35" t="s">
        <v>44</v>
      </c>
      <c r="D45" s="35" t="s">
        <v>43</v>
      </c>
      <c r="E45" s="165" t="s">
        <v>440</v>
      </c>
      <c r="F45" s="166" t="s">
        <v>448</v>
      </c>
      <c r="G45" s="264" t="s">
        <v>546</v>
      </c>
      <c r="H45" s="264" t="s">
        <v>552</v>
      </c>
      <c r="I45" s="264" t="s">
        <v>553</v>
      </c>
      <c r="J45" s="264" t="s">
        <v>444</v>
      </c>
      <c r="K45" s="264" t="s">
        <v>446</v>
      </c>
      <c r="L45" s="264" t="s">
        <v>560</v>
      </c>
      <c r="M45" s="35" t="s">
        <v>45</v>
      </c>
      <c r="N45" s="35" t="s">
        <v>42</v>
      </c>
      <c r="O45" s="37" t="s">
        <v>556</v>
      </c>
      <c r="P45" s="289" t="s">
        <v>545</v>
      </c>
      <c r="Q45" s="267" t="s">
        <v>452</v>
      </c>
      <c r="R45" s="267" t="s">
        <v>449</v>
      </c>
      <c r="S45" s="41" t="s">
        <v>229</v>
      </c>
    </row>
    <row r="46" spans="1:13" ht="12.75">
      <c r="A46" s="175" t="s">
        <v>453</v>
      </c>
      <c r="B46" s="28"/>
      <c r="C46" s="28"/>
      <c r="M46" s="149"/>
    </row>
    <row r="47" spans="1:16" s="178" customFormat="1" ht="12.75">
      <c r="A47" s="101" t="s">
        <v>18</v>
      </c>
      <c r="B47" s="65"/>
      <c r="C47" s="65"/>
      <c r="M47" s="65"/>
      <c r="O47" s="320"/>
      <c r="P47" s="320"/>
    </row>
    <row r="48" spans="1:18" ht="12.75">
      <c r="A48" s="74" t="s">
        <v>82</v>
      </c>
      <c r="B48" s="44">
        <v>1</v>
      </c>
      <c r="C48" s="207">
        <v>3620</v>
      </c>
      <c r="D48" s="45">
        <f>$C48*5/100</f>
        <v>181</v>
      </c>
      <c r="E48" s="81">
        <f>2000+1494</f>
        <v>3494</v>
      </c>
      <c r="G48" s="265">
        <f>SUM($E48,$F48,P48)</f>
        <v>3494</v>
      </c>
      <c r="H48" s="265">
        <f>SUM($G48)/$B48</f>
        <v>3494</v>
      </c>
      <c r="I48" s="265">
        <f>(401+$G48/$B48)/360</f>
        <v>10.819444444444445</v>
      </c>
      <c r="J48" s="81" t="s">
        <v>445</v>
      </c>
      <c r="K48" s="81" t="s">
        <v>550</v>
      </c>
      <c r="L48" s="308">
        <f>-(4305-401-$H48)*$B48</f>
        <v>-410</v>
      </c>
      <c r="M48" s="60"/>
      <c r="N48" s="81"/>
      <c r="O48" s="46"/>
      <c r="P48" s="46"/>
      <c r="Q48" s="81">
        <v>500</v>
      </c>
      <c r="R48" s="81" t="s">
        <v>91</v>
      </c>
    </row>
    <row r="49" spans="1:18" ht="12.75">
      <c r="A49" s="74" t="s">
        <v>3</v>
      </c>
      <c r="B49" s="60">
        <v>2</v>
      </c>
      <c r="C49" s="45">
        <f>4100-500</f>
        <v>3600</v>
      </c>
      <c r="D49" s="45">
        <f>$C49*5/100</f>
        <v>180</v>
      </c>
      <c r="E49" s="81">
        <f>4000+2011</f>
        <v>6011</v>
      </c>
      <c r="G49" s="265">
        <f>SUM($E49,$F49,P49)</f>
        <v>7701</v>
      </c>
      <c r="H49" s="265">
        <f>SUM($G49)/$B49</f>
        <v>3850.5</v>
      </c>
      <c r="I49" s="265">
        <v>11</v>
      </c>
      <c r="J49" s="81" t="s">
        <v>445</v>
      </c>
      <c r="K49" s="81" t="s">
        <v>550</v>
      </c>
      <c r="L49" s="308">
        <f>-(4305-401-$H49)*$B49</f>
        <v>-107</v>
      </c>
      <c r="M49" s="86">
        <f>$M$4</f>
        <v>350</v>
      </c>
      <c r="N49" s="88">
        <f>$M49*10/100</f>
        <v>35</v>
      </c>
      <c r="O49" s="179">
        <f>-385*$B49</f>
        <v>-770</v>
      </c>
      <c r="P49" s="290">
        <v>1690</v>
      </c>
      <c r="Q49" s="81">
        <v>2240</v>
      </c>
      <c r="R49" s="81" t="s">
        <v>91</v>
      </c>
    </row>
    <row r="50" spans="1:17" ht="12.75">
      <c r="A50" s="99" t="s">
        <v>339</v>
      </c>
      <c r="B50" s="84">
        <v>1</v>
      </c>
      <c r="C50" s="203"/>
      <c r="G50" s="266">
        <f>SUM($E50,$F50)</f>
        <v>0</v>
      </c>
      <c r="H50" s="266">
        <f>SUM($E50,$F50)/$B50</f>
        <v>0</v>
      </c>
      <c r="M50" s="86">
        <f>$M$4</f>
        <v>350</v>
      </c>
      <c r="N50" s="88">
        <f>$M50*10/100</f>
        <v>35</v>
      </c>
      <c r="O50" s="179">
        <f>-385*$B50</f>
        <v>-385</v>
      </c>
      <c r="P50" s="87"/>
      <c r="Q50" s="82"/>
    </row>
    <row r="51" spans="1:18" ht="12.75">
      <c r="A51" s="74" t="s">
        <v>90</v>
      </c>
      <c r="B51" s="44">
        <v>1</v>
      </c>
      <c r="C51" s="45">
        <f>4100-500</f>
        <v>3600</v>
      </c>
      <c r="D51" s="45">
        <f>$C51*5/100</f>
        <v>180</v>
      </c>
      <c r="E51" s="81">
        <f>2010+1300</f>
        <v>3310</v>
      </c>
      <c r="G51" s="265">
        <f>SUM($E51,$F51,P51)</f>
        <v>4387</v>
      </c>
      <c r="H51" s="265">
        <f>SUM($G51)/$B51</f>
        <v>4387</v>
      </c>
      <c r="I51" s="265">
        <f>(401+$G51/$B51)/360</f>
        <v>13.3</v>
      </c>
      <c r="J51" s="81" t="s">
        <v>551</v>
      </c>
      <c r="K51" s="304"/>
      <c r="L51" s="309">
        <f>-(4305-401-$H51)*$B51</f>
        <v>483</v>
      </c>
      <c r="M51" s="86">
        <f>$M$4</f>
        <v>350</v>
      </c>
      <c r="N51" s="88">
        <f>$M51*10/100</f>
        <v>35</v>
      </c>
      <c r="O51" s="179">
        <f>-385*$B51</f>
        <v>-385</v>
      </c>
      <c r="P51" s="290">
        <v>1077</v>
      </c>
      <c r="Q51" s="81" t="s">
        <v>457</v>
      </c>
      <c r="R51" s="81" t="s">
        <v>91</v>
      </c>
    </row>
    <row r="52" spans="1:18" ht="12.75">
      <c r="A52" s="74" t="s">
        <v>152</v>
      </c>
      <c r="B52" s="44">
        <v>2</v>
      </c>
      <c r="C52" s="45">
        <f>4100-500</f>
        <v>3600</v>
      </c>
      <c r="D52" s="45">
        <f>$C52*5/100</f>
        <v>180</v>
      </c>
      <c r="E52" s="81">
        <f>4000+1940</f>
        <v>5940</v>
      </c>
      <c r="G52" s="265">
        <f>SUM($E52,$F52,P52)</f>
        <v>7856</v>
      </c>
      <c r="H52" s="265">
        <f>SUM($G52)/$B52</f>
        <v>3928</v>
      </c>
      <c r="I52" s="265">
        <f>(401+$G52/$B52)/360</f>
        <v>12.025</v>
      </c>
      <c r="J52" s="81" t="s">
        <v>551</v>
      </c>
      <c r="K52" s="304"/>
      <c r="L52" s="309">
        <f>-(4305-401-$H52)*$B52</f>
        <v>48</v>
      </c>
      <c r="M52" s="60"/>
      <c r="N52" s="81"/>
      <c r="O52" s="46"/>
      <c r="P52" s="290">
        <v>1916</v>
      </c>
      <c r="Q52" s="81">
        <v>1900</v>
      </c>
      <c r="R52" s="81" t="s">
        <v>91</v>
      </c>
    </row>
    <row r="53" spans="1:17" ht="12.75">
      <c r="A53" s="99" t="s">
        <v>151</v>
      </c>
      <c r="B53" s="84">
        <v>2</v>
      </c>
      <c r="C53" s="215">
        <v>0</v>
      </c>
      <c r="G53" s="266">
        <f>SUM($E53,$F53)</f>
        <v>0</v>
      </c>
      <c r="H53" s="266">
        <f>SUM($E53,$F53)/$B53</f>
        <v>0</v>
      </c>
      <c r="M53" s="86">
        <f>$M$4</f>
        <v>350</v>
      </c>
      <c r="N53" s="88">
        <f>$M53*10/100</f>
        <v>35</v>
      </c>
      <c r="O53" s="179">
        <f>-385*$B53</f>
        <v>-770</v>
      </c>
      <c r="P53" s="87"/>
      <c r="Q53" s="82"/>
    </row>
    <row r="54" spans="1:19" ht="12.75">
      <c r="A54" s="74" t="s">
        <v>81</v>
      </c>
      <c r="B54" s="44">
        <v>2</v>
      </c>
      <c r="C54" s="45">
        <f>4100-500</f>
        <v>3600</v>
      </c>
      <c r="D54" s="45">
        <f>$C54*5/100</f>
        <v>180</v>
      </c>
      <c r="E54" s="81">
        <f>3915+1715</f>
        <v>5630</v>
      </c>
      <c r="F54" s="81">
        <v>2189</v>
      </c>
      <c r="G54" s="265">
        <f>SUM($E54,$F54,P54)</f>
        <v>7930</v>
      </c>
      <c r="H54" s="265">
        <f>SUM($G54)/$B54</f>
        <v>3965</v>
      </c>
      <c r="I54" s="265">
        <f>(401+$G54/$B54)/360</f>
        <v>12.127777777777778</v>
      </c>
      <c r="J54" s="81" t="s">
        <v>551</v>
      </c>
      <c r="K54" s="304"/>
      <c r="L54" s="309">
        <f>-(4305-401-$H54)*$B54</f>
        <v>122</v>
      </c>
      <c r="M54" s="60"/>
      <c r="N54" s="81"/>
      <c r="O54" s="46"/>
      <c r="P54" s="290">
        <v>111</v>
      </c>
      <c r="Q54" s="81">
        <v>2300</v>
      </c>
      <c r="R54" s="81" t="s">
        <v>91</v>
      </c>
      <c r="S54" s="175" t="s">
        <v>454</v>
      </c>
    </row>
    <row r="55" spans="1:18" ht="12.75">
      <c r="A55" s="109" t="s">
        <v>336</v>
      </c>
      <c r="B55" s="110">
        <v>3</v>
      </c>
      <c r="C55" s="45">
        <f>4100-500</f>
        <v>3600</v>
      </c>
      <c r="D55" s="45">
        <f>$C55*5/100</f>
        <v>180</v>
      </c>
      <c r="E55" s="81">
        <f>5070+3080</f>
        <v>8150</v>
      </c>
      <c r="F55" s="81">
        <v>1910</v>
      </c>
      <c r="G55" s="265">
        <f>SUM($E55,$F55,P55)</f>
        <v>13660</v>
      </c>
      <c r="H55" s="265">
        <f>SUM($G55)/$B55</f>
        <v>4553.333333333333</v>
      </c>
      <c r="I55" s="265">
        <f>(401+$G55/$B55)/360</f>
        <v>13.762037037037036</v>
      </c>
      <c r="J55" s="81" t="s">
        <v>551</v>
      </c>
      <c r="K55" s="304"/>
      <c r="L55" s="309">
        <f>-(4305-401-$H55)*$B55</f>
        <v>1947.999999999999</v>
      </c>
      <c r="M55" s="86">
        <f>$M$4</f>
        <v>350</v>
      </c>
      <c r="N55" s="88">
        <f>$M55*10/100</f>
        <v>35</v>
      </c>
      <c r="O55" s="179">
        <f>-385*$B55</f>
        <v>-1155</v>
      </c>
      <c r="P55" s="290">
        <v>3600</v>
      </c>
      <c r="Q55" s="81">
        <v>5500</v>
      </c>
      <c r="R55" s="81" t="s">
        <v>91</v>
      </c>
    </row>
    <row r="56" spans="1:17" ht="12.75">
      <c r="A56" s="210" t="s">
        <v>338</v>
      </c>
      <c r="B56" s="211">
        <v>4</v>
      </c>
      <c r="C56" s="203"/>
      <c r="M56" s="86">
        <f>$M$4</f>
        <v>350</v>
      </c>
      <c r="N56" s="88">
        <f>$M56*10/100</f>
        <v>35</v>
      </c>
      <c r="O56" s="179">
        <f>-385*$B56</f>
        <v>-1540</v>
      </c>
      <c r="P56" s="87"/>
      <c r="Q56" s="82"/>
    </row>
    <row r="57" spans="1:19" s="106" customFormat="1" ht="12.75">
      <c r="A57" s="106" t="s">
        <v>114</v>
      </c>
      <c r="B57" s="313">
        <v>1</v>
      </c>
      <c r="C57" s="314">
        <v>500</v>
      </c>
      <c r="D57" s="314"/>
      <c r="E57" s="315">
        <f>281+99</f>
        <v>380</v>
      </c>
      <c r="F57" s="316">
        <v>28</v>
      </c>
      <c r="G57" s="317">
        <f>SUM($E57,$F57,P57)</f>
        <v>408</v>
      </c>
      <c r="L57" s="318">
        <f>$G57-500*$B57</f>
        <v>-92</v>
      </c>
      <c r="O57" s="319"/>
      <c r="P57" s="319"/>
      <c r="S57" s="106" t="s">
        <v>459</v>
      </c>
    </row>
  </sheetData>
  <printOptions/>
  <pageMargins left="0.75" right="0.75" top="1" bottom="1" header="0.5" footer="0.5"/>
  <pageSetup fitToHeight="1" fitToWidth="1" horizontalDpi="600" verticalDpi="600" orientation="landscape" paperSize="8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B1">
      <selection activeCell="D40" sqref="D40"/>
    </sheetView>
  </sheetViews>
  <sheetFormatPr defaultColWidth="9.140625" defaultRowHeight="12.75"/>
  <cols>
    <col min="2" max="2" width="17.57421875" style="0" customWidth="1"/>
    <col min="3" max="3" width="12.57421875" style="0" customWidth="1"/>
    <col min="4" max="4" width="12.8515625" style="0" customWidth="1"/>
    <col min="5" max="6" width="9.8515625" style="0" customWidth="1"/>
    <col min="9" max="9" width="9.00390625" style="0" customWidth="1"/>
    <col min="10" max="10" width="10.8515625" style="0" customWidth="1"/>
    <col min="11" max="11" width="11.8515625" style="0" customWidth="1"/>
  </cols>
  <sheetData>
    <row r="2" spans="4:6" ht="12.75">
      <c r="D2" s="8"/>
      <c r="E2" s="8"/>
      <c r="F2" s="8"/>
    </row>
    <row r="3" spans="1:10" ht="12.75">
      <c r="A3" s="15"/>
      <c r="B3" s="82"/>
      <c r="C3" s="82"/>
      <c r="D3" s="81" t="s">
        <v>130</v>
      </c>
      <c r="E3" s="81"/>
      <c r="F3" s="81"/>
      <c r="G3" s="183" t="s">
        <v>131</v>
      </c>
      <c r="H3" s="183"/>
      <c r="I3" s="183"/>
      <c r="J3" s="183"/>
    </row>
    <row r="4" spans="1:11" ht="12.75">
      <c r="A4" s="15"/>
      <c r="B4" s="83" t="s">
        <v>129</v>
      </c>
      <c r="C4" s="97" t="s">
        <v>518</v>
      </c>
      <c r="D4" s="81" t="s">
        <v>526</v>
      </c>
      <c r="E4" s="81" t="s">
        <v>527</v>
      </c>
      <c r="F4" s="81" t="s">
        <v>531</v>
      </c>
      <c r="G4" s="183" t="s">
        <v>526</v>
      </c>
      <c r="H4" s="183" t="s">
        <v>527</v>
      </c>
      <c r="I4" s="183" t="s">
        <v>531</v>
      </c>
      <c r="J4" s="183"/>
      <c r="K4" s="300" t="s">
        <v>535</v>
      </c>
    </row>
    <row r="5" spans="2:11" s="159" customFormat="1" ht="12.75">
      <c r="B5" s="201" t="s">
        <v>416</v>
      </c>
      <c r="C5" s="201" t="s">
        <v>417</v>
      </c>
      <c r="D5" s="201">
        <v>25470</v>
      </c>
      <c r="E5" s="302" t="s">
        <v>536</v>
      </c>
      <c r="F5" s="201" t="s">
        <v>530</v>
      </c>
      <c r="G5" s="201">
        <f>H5+H6</f>
        <v>24913</v>
      </c>
      <c r="H5" s="201">
        <v>12453</v>
      </c>
      <c r="I5" s="201" t="s">
        <v>530</v>
      </c>
      <c r="J5" s="201" t="s">
        <v>528</v>
      </c>
      <c r="K5" s="159">
        <f>G5-D5</f>
        <v>-557</v>
      </c>
    </row>
    <row r="6" spans="2:11" s="159" customFormat="1" ht="12.75">
      <c r="B6" s="201"/>
      <c r="C6" s="201"/>
      <c r="D6" s="201"/>
      <c r="E6" s="302" t="s">
        <v>536</v>
      </c>
      <c r="F6" s="201"/>
      <c r="G6" s="201"/>
      <c r="H6" s="201">
        <v>12460</v>
      </c>
      <c r="I6" s="201"/>
      <c r="J6" s="201" t="s">
        <v>532</v>
      </c>
      <c r="K6" s="159">
        <f aca="true" t="shared" si="0" ref="K6:K29">G6-D6</f>
        <v>0</v>
      </c>
    </row>
    <row r="7" spans="2:11" ht="12.75">
      <c r="B7" s="82" t="s">
        <v>427</v>
      </c>
      <c r="C7" s="41" t="s">
        <v>428</v>
      </c>
      <c r="D7" s="82">
        <v>20000</v>
      </c>
      <c r="E7" s="301" t="s">
        <v>536</v>
      </c>
      <c r="F7" s="41" t="s">
        <v>530</v>
      </c>
      <c r="G7" s="41">
        <f>H7+H8</f>
        <v>19751</v>
      </c>
      <c r="H7" s="41">
        <v>9528</v>
      </c>
      <c r="I7" s="41" t="s">
        <v>530</v>
      </c>
      <c r="J7" s="41" t="s">
        <v>528</v>
      </c>
      <c r="K7" s="159">
        <f t="shared" si="0"/>
        <v>-249</v>
      </c>
    </row>
    <row r="8" spans="2:11" ht="12.75">
      <c r="B8" s="82"/>
      <c r="C8" s="41"/>
      <c r="D8" s="82"/>
      <c r="E8" s="301" t="s">
        <v>536</v>
      </c>
      <c r="F8" s="41" t="s">
        <v>530</v>
      </c>
      <c r="G8" s="41"/>
      <c r="H8" s="41">
        <v>10223</v>
      </c>
      <c r="I8" s="41" t="s">
        <v>530</v>
      </c>
      <c r="J8" s="41" t="s">
        <v>532</v>
      </c>
      <c r="K8" s="159">
        <f t="shared" si="0"/>
        <v>0</v>
      </c>
    </row>
    <row r="9" spans="2:11" s="159" customFormat="1" ht="12.75">
      <c r="B9" s="201" t="s">
        <v>430</v>
      </c>
      <c r="C9" s="201" t="s">
        <v>431</v>
      </c>
      <c r="D9" s="201">
        <v>27450</v>
      </c>
      <c r="E9" s="302" t="s">
        <v>536</v>
      </c>
      <c r="F9" s="201" t="s">
        <v>530</v>
      </c>
      <c r="G9" s="201">
        <f>H9+H10+H11</f>
        <v>27438</v>
      </c>
      <c r="H9" s="201">
        <v>11968</v>
      </c>
      <c r="I9" s="201" t="s">
        <v>530</v>
      </c>
      <c r="J9" s="201" t="s">
        <v>528</v>
      </c>
      <c r="K9" s="159">
        <f t="shared" si="0"/>
        <v>-12</v>
      </c>
    </row>
    <row r="10" spans="2:11" s="159" customFormat="1" ht="12.75">
      <c r="B10" s="201"/>
      <c r="C10" s="201"/>
      <c r="D10" s="201"/>
      <c r="E10" s="302" t="s">
        <v>536</v>
      </c>
      <c r="F10" s="201" t="s">
        <v>530</v>
      </c>
      <c r="G10" s="201"/>
      <c r="H10" s="201">
        <v>12042</v>
      </c>
      <c r="I10" s="201" t="s">
        <v>530</v>
      </c>
      <c r="J10" s="201" t="s">
        <v>532</v>
      </c>
      <c r="K10" s="159">
        <f t="shared" si="0"/>
        <v>0</v>
      </c>
    </row>
    <row r="11" spans="2:11" s="159" customFormat="1" ht="12.75">
      <c r="B11" s="201"/>
      <c r="C11" s="201"/>
      <c r="D11" s="201"/>
      <c r="E11" s="302" t="s">
        <v>536</v>
      </c>
      <c r="F11" s="201" t="s">
        <v>530</v>
      </c>
      <c r="G11" s="201"/>
      <c r="H11" s="201">
        <v>3428</v>
      </c>
      <c r="I11" s="201" t="s">
        <v>530</v>
      </c>
      <c r="J11" s="201" t="s">
        <v>534</v>
      </c>
      <c r="K11" s="159">
        <f t="shared" si="0"/>
        <v>0</v>
      </c>
    </row>
    <row r="12" spans="2:11" ht="12.75">
      <c r="B12" s="82" t="s">
        <v>434</v>
      </c>
      <c r="C12" s="41" t="s">
        <v>436</v>
      </c>
      <c r="D12" s="82">
        <v>20360</v>
      </c>
      <c r="E12" s="301" t="s">
        <v>536</v>
      </c>
      <c r="F12" s="41" t="s">
        <v>530</v>
      </c>
      <c r="G12" s="41">
        <f>H12+H13</f>
        <v>20075</v>
      </c>
      <c r="H12" s="41">
        <v>10968</v>
      </c>
      <c r="I12" s="41" t="s">
        <v>530</v>
      </c>
      <c r="J12" s="41" t="s">
        <v>528</v>
      </c>
      <c r="K12" s="159">
        <f t="shared" si="0"/>
        <v>-285</v>
      </c>
    </row>
    <row r="13" spans="2:11" ht="12.75">
      <c r="B13" s="82"/>
      <c r="C13" s="41"/>
      <c r="D13" s="82"/>
      <c r="E13" s="301" t="s">
        <v>536</v>
      </c>
      <c r="F13" s="41" t="s">
        <v>530</v>
      </c>
      <c r="G13" s="41"/>
      <c r="H13" s="41">
        <v>9107</v>
      </c>
      <c r="I13" s="41" t="s">
        <v>530</v>
      </c>
      <c r="J13" s="41" t="s">
        <v>532</v>
      </c>
      <c r="K13" s="159">
        <f t="shared" si="0"/>
        <v>0</v>
      </c>
    </row>
    <row r="14" spans="2:11" s="159" customFormat="1" ht="12.75">
      <c r="B14" s="201" t="s">
        <v>437</v>
      </c>
      <c r="C14" s="201" t="s">
        <v>439</v>
      </c>
      <c r="D14" s="201">
        <f>8237+14916</f>
        <v>23153</v>
      </c>
      <c r="E14" s="201">
        <v>8237</v>
      </c>
      <c r="F14" s="183" t="s">
        <v>533</v>
      </c>
      <c r="G14" s="201">
        <f>H14+H15</f>
        <v>22356</v>
      </c>
      <c r="H14" s="201">
        <v>10800</v>
      </c>
      <c r="I14" s="183" t="s">
        <v>530</v>
      </c>
      <c r="J14" s="201" t="s">
        <v>528</v>
      </c>
      <c r="K14" s="159">
        <f t="shared" si="0"/>
        <v>-797</v>
      </c>
    </row>
    <row r="15" spans="2:11" s="159" customFormat="1" ht="12.75">
      <c r="B15" s="201"/>
      <c r="C15" s="201"/>
      <c r="D15" s="201"/>
      <c r="E15" s="201">
        <v>14916</v>
      </c>
      <c r="F15" s="201" t="s">
        <v>530</v>
      </c>
      <c r="G15" s="201"/>
      <c r="H15" s="201">
        <v>11556</v>
      </c>
      <c r="I15" s="201" t="s">
        <v>530</v>
      </c>
      <c r="J15" s="201" t="s">
        <v>532</v>
      </c>
      <c r="K15" s="159">
        <f t="shared" si="0"/>
        <v>0</v>
      </c>
    </row>
    <row r="16" spans="2:11" ht="12.75">
      <c r="B16" s="82" t="s">
        <v>460</v>
      </c>
      <c r="C16" s="41" t="s">
        <v>438</v>
      </c>
      <c r="D16" s="82">
        <f>5488+14000</f>
        <v>19488</v>
      </c>
      <c r="E16" s="41">
        <v>5488</v>
      </c>
      <c r="F16" s="41" t="s">
        <v>533</v>
      </c>
      <c r="G16" s="41">
        <f>H16+H17</f>
        <v>17428</v>
      </c>
      <c r="H16" s="41">
        <v>5485</v>
      </c>
      <c r="I16" s="41" t="s">
        <v>533</v>
      </c>
      <c r="J16" s="41" t="s">
        <v>528</v>
      </c>
      <c r="K16" s="159">
        <f t="shared" si="0"/>
        <v>-2060</v>
      </c>
    </row>
    <row r="17" spans="2:11" ht="12.75">
      <c r="B17" s="82"/>
      <c r="C17" s="41"/>
      <c r="D17" s="82"/>
      <c r="E17" s="41">
        <v>14000</v>
      </c>
      <c r="F17" s="41" t="s">
        <v>530</v>
      </c>
      <c r="G17" s="41"/>
      <c r="H17" s="41">
        <v>11943</v>
      </c>
      <c r="I17" s="41" t="s">
        <v>530</v>
      </c>
      <c r="J17" s="41" t="s">
        <v>532</v>
      </c>
      <c r="K17" s="159">
        <f t="shared" si="0"/>
        <v>0</v>
      </c>
    </row>
    <row r="18" spans="2:11" s="159" customFormat="1" ht="12.75">
      <c r="B18" s="201" t="s">
        <v>462</v>
      </c>
      <c r="C18" s="201" t="s">
        <v>463</v>
      </c>
      <c r="D18" s="201">
        <f>11000+19400</f>
        <v>30400</v>
      </c>
      <c r="E18" s="201">
        <v>11000</v>
      </c>
      <c r="F18" s="183" t="s">
        <v>533</v>
      </c>
      <c r="G18" s="201">
        <f>H18+H19+H20</f>
        <v>26894</v>
      </c>
      <c r="H18" s="201">
        <v>12372</v>
      </c>
      <c r="I18" s="183" t="s">
        <v>530</v>
      </c>
      <c r="J18" s="201" t="s">
        <v>528</v>
      </c>
      <c r="K18" s="159">
        <f t="shared" si="0"/>
        <v>-3506</v>
      </c>
    </row>
    <row r="19" spans="2:11" s="159" customFormat="1" ht="12.75">
      <c r="B19" s="201"/>
      <c r="C19" s="201"/>
      <c r="D19" s="201"/>
      <c r="E19" s="201">
        <v>19400</v>
      </c>
      <c r="F19" s="201" t="s">
        <v>530</v>
      </c>
      <c r="G19" s="201"/>
      <c r="H19" s="201">
        <v>12372</v>
      </c>
      <c r="I19" s="201" t="s">
        <v>530</v>
      </c>
      <c r="J19" s="201" t="s">
        <v>532</v>
      </c>
      <c r="K19" s="159">
        <f t="shared" si="0"/>
        <v>0</v>
      </c>
    </row>
    <row r="20" spans="2:11" s="159" customFormat="1" ht="12.75">
      <c r="B20" s="201"/>
      <c r="C20" s="201"/>
      <c r="D20" s="201"/>
      <c r="E20" s="201"/>
      <c r="F20" s="201"/>
      <c r="G20" s="201"/>
      <c r="H20" s="201">
        <v>2150</v>
      </c>
      <c r="I20" s="201" t="s">
        <v>530</v>
      </c>
      <c r="J20" s="201" t="s">
        <v>534</v>
      </c>
      <c r="K20" s="159">
        <f t="shared" si="0"/>
        <v>0</v>
      </c>
    </row>
    <row r="21" spans="2:11" ht="12.75">
      <c r="B21" s="82" t="s">
        <v>493</v>
      </c>
      <c r="C21" s="41" t="s">
        <v>466</v>
      </c>
      <c r="D21" s="82">
        <f>10000+15490</f>
        <v>25490</v>
      </c>
      <c r="E21" s="41">
        <v>10000</v>
      </c>
      <c r="F21" s="41" t="s">
        <v>533</v>
      </c>
      <c r="G21" s="41">
        <f>H21+H22</f>
        <v>23523</v>
      </c>
      <c r="H21" s="41">
        <v>11270</v>
      </c>
      <c r="I21" s="41" t="s">
        <v>533</v>
      </c>
      <c r="J21" s="41" t="s">
        <v>528</v>
      </c>
      <c r="K21" s="159">
        <f t="shared" si="0"/>
        <v>-1967</v>
      </c>
    </row>
    <row r="22" spans="2:11" ht="12.75">
      <c r="B22" s="82"/>
      <c r="C22" s="41"/>
      <c r="D22" s="82"/>
      <c r="E22" s="41">
        <v>15490</v>
      </c>
      <c r="F22" s="41" t="s">
        <v>530</v>
      </c>
      <c r="G22" s="41"/>
      <c r="H22" s="41">
        <v>12253</v>
      </c>
      <c r="I22" s="41" t="s">
        <v>530</v>
      </c>
      <c r="J22" s="41" t="s">
        <v>532</v>
      </c>
      <c r="K22" s="159">
        <f t="shared" si="0"/>
        <v>0</v>
      </c>
    </row>
    <row r="23" spans="2:11" s="159" customFormat="1" ht="12.75">
      <c r="B23" s="201" t="s">
        <v>494</v>
      </c>
      <c r="C23" s="201" t="s">
        <v>495</v>
      </c>
      <c r="D23" s="201">
        <f>7362+12640</f>
        <v>20002</v>
      </c>
      <c r="E23" s="201">
        <v>7362</v>
      </c>
      <c r="F23" s="183" t="s">
        <v>533</v>
      </c>
      <c r="G23" s="201">
        <f>H23</f>
        <v>18887</v>
      </c>
      <c r="H23" s="201">
        <v>18887</v>
      </c>
      <c r="I23" s="183" t="s">
        <v>538</v>
      </c>
      <c r="J23" s="201" t="s">
        <v>537</v>
      </c>
      <c r="K23" s="159">
        <f t="shared" si="0"/>
        <v>-1115</v>
      </c>
    </row>
    <row r="24" spans="2:11" s="159" customFormat="1" ht="12.75">
      <c r="B24" s="201"/>
      <c r="C24" s="201"/>
      <c r="D24" s="201"/>
      <c r="E24" s="201">
        <v>12640</v>
      </c>
      <c r="F24" s="201" t="s">
        <v>530</v>
      </c>
      <c r="G24" s="201"/>
      <c r="H24" s="201"/>
      <c r="I24" s="201"/>
      <c r="J24" s="201"/>
      <c r="K24" s="159">
        <f t="shared" si="0"/>
        <v>0</v>
      </c>
    </row>
    <row r="25" spans="2:11" ht="12.75">
      <c r="B25" s="82" t="s">
        <v>492</v>
      </c>
      <c r="C25" s="41" t="s">
        <v>490</v>
      </c>
      <c r="D25" s="82">
        <f>7990+11523</f>
        <v>19513</v>
      </c>
      <c r="E25" s="41">
        <v>7990</v>
      </c>
      <c r="F25" s="183" t="s">
        <v>533</v>
      </c>
      <c r="G25" s="41">
        <f>H25+H26</f>
        <v>19758</v>
      </c>
      <c r="H25" s="41">
        <v>7897</v>
      </c>
      <c r="I25" s="183" t="s">
        <v>530</v>
      </c>
      <c r="J25" s="41" t="s">
        <v>528</v>
      </c>
      <c r="K25" s="159">
        <f t="shared" si="0"/>
        <v>245</v>
      </c>
    </row>
    <row r="26" spans="2:11" ht="12.75">
      <c r="B26" s="82"/>
      <c r="C26" s="41"/>
      <c r="D26" s="82"/>
      <c r="E26" s="41">
        <v>11523</v>
      </c>
      <c r="F26" s="41" t="s">
        <v>530</v>
      </c>
      <c r="G26" s="41"/>
      <c r="H26" s="41">
        <v>11861</v>
      </c>
      <c r="I26" s="41" t="s">
        <v>530</v>
      </c>
      <c r="J26" s="41" t="s">
        <v>532</v>
      </c>
      <c r="K26" s="159">
        <f t="shared" si="0"/>
        <v>0</v>
      </c>
    </row>
    <row r="27" spans="2:11" s="159" customFormat="1" ht="12.75">
      <c r="B27" s="201" t="s">
        <v>512</v>
      </c>
      <c r="C27" s="201" t="s">
        <v>513</v>
      </c>
      <c r="D27" s="201">
        <f>2600+12300</f>
        <v>14900</v>
      </c>
      <c r="E27" s="201">
        <v>2600</v>
      </c>
      <c r="F27" s="201" t="s">
        <v>533</v>
      </c>
      <c r="G27" s="201">
        <f>H27+H28</f>
        <v>15043</v>
      </c>
      <c r="H27" s="201">
        <v>6968</v>
      </c>
      <c r="I27" s="183" t="s">
        <v>538</v>
      </c>
      <c r="J27" s="201" t="s">
        <v>528</v>
      </c>
      <c r="K27" s="159">
        <f t="shared" si="0"/>
        <v>143</v>
      </c>
    </row>
    <row r="28" spans="2:11" s="159" customFormat="1" ht="12.75">
      <c r="B28" s="201"/>
      <c r="C28" s="201"/>
      <c r="D28" s="201"/>
      <c r="E28" s="201">
        <v>12300</v>
      </c>
      <c r="F28" s="201" t="s">
        <v>530</v>
      </c>
      <c r="G28" s="201"/>
      <c r="H28" s="201">
        <v>8075</v>
      </c>
      <c r="I28" s="201" t="s">
        <v>530</v>
      </c>
      <c r="J28" s="201" t="s">
        <v>532</v>
      </c>
      <c r="K28" s="159">
        <f t="shared" si="0"/>
        <v>0</v>
      </c>
    </row>
    <row r="29" spans="2:11" ht="12.75">
      <c r="B29" s="82" t="s">
        <v>140</v>
      </c>
      <c r="C29" s="41" t="s">
        <v>514</v>
      </c>
      <c r="D29" s="82">
        <v>11320</v>
      </c>
      <c r="E29" s="41">
        <v>11320</v>
      </c>
      <c r="F29" s="41" t="s">
        <v>530</v>
      </c>
      <c r="G29" s="41">
        <f>H29</f>
        <v>11361</v>
      </c>
      <c r="H29" s="41">
        <v>11361</v>
      </c>
      <c r="I29" s="41" t="s">
        <v>530</v>
      </c>
      <c r="J29" s="41" t="s">
        <v>528</v>
      </c>
      <c r="K29" s="159">
        <f t="shared" si="0"/>
        <v>41</v>
      </c>
    </row>
    <row r="30" spans="2:11" s="159" customFormat="1" ht="12.75">
      <c r="B30" s="201" t="s">
        <v>155</v>
      </c>
      <c r="C30" s="201" t="s">
        <v>517</v>
      </c>
      <c r="D30" s="201">
        <v>12500</v>
      </c>
      <c r="E30" s="201">
        <v>12500</v>
      </c>
      <c r="F30" s="201" t="s">
        <v>530</v>
      </c>
      <c r="G30" s="201">
        <f>H30+H31</f>
        <v>13230</v>
      </c>
      <c r="H30" s="201">
        <v>12180</v>
      </c>
      <c r="I30" s="201" t="s">
        <v>530</v>
      </c>
      <c r="J30" s="201" t="s">
        <v>528</v>
      </c>
      <c r="K30" s="159">
        <f>G30-D30</f>
        <v>730</v>
      </c>
    </row>
    <row r="31" spans="2:10" s="159" customFormat="1" ht="12.75">
      <c r="B31" s="201"/>
      <c r="C31" s="201"/>
      <c r="D31" s="302" t="str">
        <f>"+reserve"</f>
        <v>+reserve</v>
      </c>
      <c r="E31" s="201"/>
      <c r="F31" s="201" t="s">
        <v>530</v>
      </c>
      <c r="G31" s="201"/>
      <c r="H31" s="201">
        <v>1050</v>
      </c>
      <c r="I31" s="201" t="s">
        <v>530</v>
      </c>
      <c r="J31" s="201" t="s">
        <v>529</v>
      </c>
    </row>
    <row r="32" spans="2:10" ht="12.75">
      <c r="B32" s="107" t="s">
        <v>266</v>
      </c>
      <c r="C32" s="107"/>
      <c r="D32" s="107">
        <f>SUM(D5:D30)</f>
        <v>270046</v>
      </c>
      <c r="E32" s="41"/>
      <c r="F32" s="41"/>
      <c r="G32" s="41"/>
      <c r="H32" s="41"/>
      <c r="I32" s="41"/>
      <c r="J32" s="41"/>
    </row>
    <row r="33" ht="12.75">
      <c r="K33" s="159">
        <f>SUM(K5:K31)</f>
        <v>-9389</v>
      </c>
    </row>
    <row r="34" spans="2:11" ht="12.75">
      <c r="B34" t="s">
        <v>158</v>
      </c>
      <c r="C34" t="s">
        <v>541</v>
      </c>
      <c r="D34">
        <v>20000</v>
      </c>
      <c r="E34" t="s">
        <v>542</v>
      </c>
      <c r="G34">
        <f>9863+9890</f>
        <v>19753</v>
      </c>
      <c r="H34">
        <v>9863</v>
      </c>
      <c r="K34" s="15">
        <f>G34-D34</f>
        <v>-247</v>
      </c>
    </row>
    <row r="35" spans="5:8" ht="12.75">
      <c r="E35" t="s">
        <v>542</v>
      </c>
      <c r="H35">
        <v>9890</v>
      </c>
    </row>
    <row r="36" spans="2:8" ht="12.75">
      <c r="B36" t="s">
        <v>543</v>
      </c>
      <c r="C36" t="s">
        <v>544</v>
      </c>
      <c r="D36">
        <v>9800</v>
      </c>
      <c r="G36">
        <f>H36</f>
        <v>9792</v>
      </c>
      <c r="H36">
        <v>9792</v>
      </c>
    </row>
    <row r="37" spans="2:7" ht="12.75">
      <c r="B37" t="s">
        <v>222</v>
      </c>
      <c r="C37" t="s">
        <v>563</v>
      </c>
      <c r="D37">
        <v>5000</v>
      </c>
      <c r="G37">
        <v>5039</v>
      </c>
    </row>
    <row r="38" spans="2:7" ht="12.75">
      <c r="B38" t="s">
        <v>562</v>
      </c>
      <c r="G38">
        <v>2496</v>
      </c>
    </row>
    <row r="39" spans="2:4" ht="12.75">
      <c r="B39" t="s">
        <v>566</v>
      </c>
      <c r="C39" t="s">
        <v>567</v>
      </c>
      <c r="D39">
        <v>12500</v>
      </c>
    </row>
  </sheetData>
  <printOptions/>
  <pageMargins left="0.75" right="0.75" top="1" bottom="1" header="0.5" footer="0.5"/>
  <pageSetup horizontalDpi="525" verticalDpi="525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53">
      <selection activeCell="F67" sqref="F67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134</v>
      </c>
      <c r="G1" s="4" t="s">
        <v>135</v>
      </c>
    </row>
    <row r="2" spans="1:8" ht="12.75">
      <c r="A2" s="181" t="s">
        <v>296</v>
      </c>
      <c r="C2" t="s">
        <v>420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421</v>
      </c>
      <c r="E3" s="4">
        <f>E4-E2</f>
        <v>103700</v>
      </c>
      <c r="F3" s="4"/>
      <c r="G3" s="4">
        <v>3400</v>
      </c>
      <c r="H3" t="s">
        <v>426</v>
      </c>
    </row>
    <row r="4" spans="3:7" ht="12.75">
      <c r="C4" t="s">
        <v>422</v>
      </c>
      <c r="E4" s="4">
        <v>802000</v>
      </c>
      <c r="F4" s="4"/>
      <c r="G4" s="4">
        <f>G2+G3</f>
        <v>26200</v>
      </c>
    </row>
    <row r="5" spans="3:10" ht="12.75">
      <c r="C5" t="s">
        <v>423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424</v>
      </c>
      <c r="E7" s="4">
        <f>E68</f>
        <v>792748</v>
      </c>
      <c r="F7" s="4">
        <v>948</v>
      </c>
      <c r="G7" s="4">
        <f>E88</f>
        <v>27226</v>
      </c>
    </row>
    <row r="8" spans="5:7" ht="12.75">
      <c r="E8" s="4"/>
      <c r="F8" s="4"/>
      <c r="G8" s="4"/>
    </row>
    <row r="9" spans="3:7" ht="12.75">
      <c r="C9" t="s">
        <v>425</v>
      </c>
      <c r="E9" s="4">
        <f>E4-E7</f>
        <v>9252</v>
      </c>
      <c r="F9" s="4"/>
      <c r="G9" s="4">
        <f>G4-G7</f>
        <v>-1026</v>
      </c>
    </row>
    <row r="12" spans="3:9" ht="12.75">
      <c r="C12" s="43" t="s">
        <v>129</v>
      </c>
      <c r="D12" s="97" t="s">
        <v>518</v>
      </c>
      <c r="E12" s="41" t="s">
        <v>130</v>
      </c>
      <c r="F12" s="41" t="s">
        <v>133</v>
      </c>
      <c r="G12" s="41" t="s">
        <v>131</v>
      </c>
      <c r="H12" s="41" t="s">
        <v>132</v>
      </c>
      <c r="I12" s="184" t="s">
        <v>282</v>
      </c>
    </row>
    <row r="13" spans="2:8" ht="12.75">
      <c r="B13" t="s">
        <v>219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SUM(E16:E20,E76,E83:E84)</f>
        <v>47444</v>
      </c>
      <c r="C14" s="41"/>
      <c r="D14" s="41" t="s">
        <v>138</v>
      </c>
      <c r="E14" s="41">
        <v>9300</v>
      </c>
      <c r="F14" s="41"/>
      <c r="G14" s="41">
        <v>9170</v>
      </c>
      <c r="H14" s="41"/>
    </row>
    <row r="15" spans="2:8" ht="12.75">
      <c r="B15" t="s">
        <v>220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136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282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142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139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140</v>
      </c>
      <c r="D21" s="41" t="s">
        <v>141</v>
      </c>
      <c r="E21" s="41">
        <v>11170</v>
      </c>
      <c r="F21" s="41" t="s">
        <v>91</v>
      </c>
      <c r="G21" s="82"/>
      <c r="H21" s="41"/>
      <c r="I21">
        <v>5</v>
      </c>
      <c r="K21" t="s">
        <v>156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155</v>
      </c>
      <c r="D23" s="41" t="s">
        <v>154</v>
      </c>
      <c r="E23" s="41">
        <v>12730</v>
      </c>
      <c r="F23" s="41" t="s">
        <v>91</v>
      </c>
      <c r="G23" s="82"/>
      <c r="H23" s="41"/>
      <c r="I23">
        <v>7</v>
      </c>
      <c r="K23" t="s">
        <v>157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158</v>
      </c>
      <c r="D25" s="41" t="s">
        <v>160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249</v>
      </c>
      <c r="C26" s="41" t="s">
        <v>159</v>
      </c>
      <c r="D26" s="41" t="s">
        <v>221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222</v>
      </c>
      <c r="D27" s="41" t="s">
        <v>223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245</v>
      </c>
      <c r="D28" s="41" t="s">
        <v>246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247</v>
      </c>
      <c r="D29" s="41" t="s">
        <v>257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256</v>
      </c>
      <c r="D30" s="41" t="s">
        <v>248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269</v>
      </c>
      <c r="C31" s="41" t="s">
        <v>258</v>
      </c>
      <c r="D31" s="41" t="s">
        <v>264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259</v>
      </c>
      <c r="D33" s="41" t="s">
        <v>265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262</v>
      </c>
      <c r="D34" s="41" t="s">
        <v>263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270</v>
      </c>
      <c r="C35" s="41" t="s">
        <v>267</v>
      </c>
      <c r="D35" s="41" t="s">
        <v>268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272</v>
      </c>
      <c r="D36" s="41" t="s">
        <v>273</v>
      </c>
      <c r="E36" s="41">
        <v>25000</v>
      </c>
      <c r="F36" s="41" t="s">
        <v>24</v>
      </c>
      <c r="G36" s="82"/>
      <c r="H36" s="41" t="s">
        <v>277</v>
      </c>
      <c r="I36">
        <v>19</v>
      </c>
    </row>
    <row r="37" spans="3:9" ht="12.75">
      <c r="C37" s="178" t="s">
        <v>274</v>
      </c>
      <c r="D37" s="41" t="s">
        <v>275</v>
      </c>
      <c r="E37" s="178">
        <v>25000</v>
      </c>
      <c r="F37" s="41" t="s">
        <v>24</v>
      </c>
      <c r="G37" s="178" t="s">
        <v>281</v>
      </c>
      <c r="H37" s="41" t="s">
        <v>276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278</v>
      </c>
      <c r="D39" s="41" t="s">
        <v>279</v>
      </c>
      <c r="E39" s="178">
        <v>20160</v>
      </c>
      <c r="F39" s="41" t="s">
        <v>24</v>
      </c>
      <c r="G39" s="178" t="s">
        <v>281</v>
      </c>
      <c r="H39" s="41" t="s">
        <v>280</v>
      </c>
      <c r="I39">
        <v>22</v>
      </c>
    </row>
    <row r="40" spans="3:9" ht="12.75">
      <c r="C40" s="178" t="s">
        <v>324</v>
      </c>
      <c r="D40" s="41" t="s">
        <v>279</v>
      </c>
      <c r="E40" s="178">
        <v>12000</v>
      </c>
      <c r="F40" s="41" t="s">
        <v>24</v>
      </c>
      <c r="G40" s="178" t="s">
        <v>281</v>
      </c>
      <c r="H40" s="41" t="s">
        <v>280</v>
      </c>
      <c r="I40" s="15">
        <v>22</v>
      </c>
    </row>
    <row r="41" spans="2:9" ht="12.75">
      <c r="B41" t="s">
        <v>391</v>
      </c>
      <c r="C41" s="82" t="s">
        <v>325</v>
      </c>
      <c r="D41" s="41" t="s">
        <v>326</v>
      </c>
      <c r="E41" s="183">
        <v>15250</v>
      </c>
      <c r="F41" s="41" t="s">
        <v>24</v>
      </c>
      <c r="G41" s="200" t="s">
        <v>315</v>
      </c>
      <c r="H41" s="41" t="s">
        <v>327</v>
      </c>
      <c r="I41">
        <v>23</v>
      </c>
    </row>
    <row r="42" spans="3:9" ht="12.75">
      <c r="C42" s="82" t="s">
        <v>328</v>
      </c>
      <c r="D42" s="41" t="s">
        <v>326</v>
      </c>
      <c r="E42" s="183">
        <v>9660</v>
      </c>
      <c r="F42" s="41" t="s">
        <v>24</v>
      </c>
      <c r="G42" s="200" t="s">
        <v>315</v>
      </c>
      <c r="H42" s="41" t="s">
        <v>327</v>
      </c>
      <c r="I42">
        <v>23</v>
      </c>
    </row>
    <row r="43" spans="1:9" ht="12.75">
      <c r="A43">
        <v>24</v>
      </c>
      <c r="C43" s="82" t="s">
        <v>346</v>
      </c>
      <c r="D43" s="41" t="s">
        <v>347</v>
      </c>
      <c r="E43" s="183">
        <v>12400</v>
      </c>
      <c r="F43" s="41" t="s">
        <v>24</v>
      </c>
      <c r="G43" s="200" t="s">
        <v>315</v>
      </c>
      <c r="H43" s="41" t="s">
        <v>348</v>
      </c>
      <c r="I43">
        <v>24</v>
      </c>
    </row>
    <row r="44" spans="1:12" ht="12.75">
      <c r="A44">
        <v>24</v>
      </c>
      <c r="C44" s="82" t="s">
        <v>349</v>
      </c>
      <c r="D44" s="41" t="s">
        <v>347</v>
      </c>
      <c r="E44" s="183">
        <v>12600</v>
      </c>
      <c r="F44" s="41" t="s">
        <v>24</v>
      </c>
      <c r="G44" s="200" t="s">
        <v>315</v>
      </c>
      <c r="H44" s="41" t="s">
        <v>348</v>
      </c>
      <c r="I44">
        <v>24</v>
      </c>
      <c r="L44" s="222" t="s">
        <v>350</v>
      </c>
    </row>
    <row r="45" spans="1:12" ht="12.75">
      <c r="A45">
        <v>25</v>
      </c>
      <c r="C45" s="82" t="s">
        <v>384</v>
      </c>
      <c r="D45" s="41" t="s">
        <v>385</v>
      </c>
      <c r="E45" s="183">
        <v>13500</v>
      </c>
      <c r="F45" s="41" t="s">
        <v>24</v>
      </c>
      <c r="G45" s="200" t="s">
        <v>315</v>
      </c>
      <c r="H45" s="41" t="s">
        <v>386</v>
      </c>
      <c r="I45">
        <v>25</v>
      </c>
      <c r="L45" s="222"/>
    </row>
    <row r="46" spans="1:12" ht="12.75">
      <c r="A46">
        <v>25</v>
      </c>
      <c r="C46" s="82" t="s">
        <v>387</v>
      </c>
      <c r="D46" s="41" t="s">
        <v>385</v>
      </c>
      <c r="E46" s="183">
        <v>12000</v>
      </c>
      <c r="F46" s="41" t="s">
        <v>24</v>
      </c>
      <c r="G46" s="200" t="s">
        <v>315</v>
      </c>
      <c r="H46" s="41" t="s">
        <v>386</v>
      </c>
      <c r="I46">
        <v>25</v>
      </c>
      <c r="L46" s="222"/>
    </row>
    <row r="47" spans="1:12" ht="12.75">
      <c r="A47">
        <v>25</v>
      </c>
      <c r="C47" s="82" t="s">
        <v>388</v>
      </c>
      <c r="D47" s="41" t="s">
        <v>389</v>
      </c>
      <c r="E47" s="183">
        <v>10000</v>
      </c>
      <c r="F47" s="41" t="s">
        <v>24</v>
      </c>
      <c r="G47" s="200" t="s">
        <v>315</v>
      </c>
      <c r="H47" s="41" t="s">
        <v>390</v>
      </c>
      <c r="I47">
        <v>26</v>
      </c>
      <c r="L47" s="222"/>
    </row>
    <row r="48" spans="1:12" ht="12.75">
      <c r="A48">
        <v>26</v>
      </c>
      <c r="C48" s="82" t="s">
        <v>402</v>
      </c>
      <c r="D48" s="41" t="s">
        <v>404</v>
      </c>
      <c r="E48" s="82">
        <f>13580+16127</f>
        <v>29707</v>
      </c>
      <c r="F48" s="41" t="s">
        <v>91</v>
      </c>
      <c r="G48" s="200" t="s">
        <v>315</v>
      </c>
      <c r="H48" s="41" t="s">
        <v>403</v>
      </c>
      <c r="I48">
        <v>27</v>
      </c>
      <c r="L48" s="222"/>
    </row>
    <row r="49" spans="1:12" ht="12.75">
      <c r="A49">
        <v>28</v>
      </c>
      <c r="B49" t="s">
        <v>408</v>
      </c>
      <c r="C49" s="82" t="s">
        <v>413</v>
      </c>
      <c r="D49" s="41" t="s">
        <v>406</v>
      </c>
      <c r="E49" s="82">
        <f>6030+24820</f>
        <v>30850</v>
      </c>
      <c r="F49" s="41" t="s">
        <v>91</v>
      </c>
      <c r="G49" s="200" t="s">
        <v>315</v>
      </c>
      <c r="H49" s="41" t="s">
        <v>407</v>
      </c>
      <c r="I49">
        <v>28</v>
      </c>
      <c r="L49" s="222"/>
    </row>
    <row r="50" spans="1:12" ht="12.75">
      <c r="A50">
        <v>29</v>
      </c>
      <c r="C50" s="82" t="s">
        <v>410</v>
      </c>
      <c r="D50" s="41" t="s">
        <v>411</v>
      </c>
      <c r="E50" s="82">
        <v>19160</v>
      </c>
      <c r="F50" s="41" t="s">
        <v>91</v>
      </c>
      <c r="G50" s="200"/>
      <c r="H50" s="41" t="s">
        <v>412</v>
      </c>
      <c r="I50">
        <v>29</v>
      </c>
      <c r="L50" s="222"/>
    </row>
    <row r="51" spans="1:12" ht="12.75">
      <c r="A51">
        <v>30</v>
      </c>
      <c r="C51" s="82" t="s">
        <v>416</v>
      </c>
      <c r="D51" s="41" t="s">
        <v>417</v>
      </c>
      <c r="E51" s="82">
        <v>25470</v>
      </c>
      <c r="F51" s="41" t="s">
        <v>91</v>
      </c>
      <c r="G51" s="200"/>
      <c r="H51" s="41" t="s">
        <v>418</v>
      </c>
      <c r="I51">
        <v>30</v>
      </c>
      <c r="L51" s="222"/>
    </row>
    <row r="52" spans="3:12" ht="12.75">
      <c r="C52" s="82" t="s">
        <v>427</v>
      </c>
      <c r="D52" s="41" t="s">
        <v>428</v>
      </c>
      <c r="E52" s="82">
        <v>20000</v>
      </c>
      <c r="F52" s="41" t="s">
        <v>433</v>
      </c>
      <c r="G52" s="200"/>
      <c r="H52" s="41" t="s">
        <v>429</v>
      </c>
      <c r="I52">
        <v>32</v>
      </c>
      <c r="L52" s="222"/>
    </row>
    <row r="53" spans="3:12" ht="12.75">
      <c r="C53" s="82" t="s">
        <v>430</v>
      </c>
      <c r="D53" s="41" t="s">
        <v>431</v>
      </c>
      <c r="E53" s="82">
        <v>27450</v>
      </c>
      <c r="F53" s="41" t="s">
        <v>433</v>
      </c>
      <c r="G53" s="200"/>
      <c r="H53" s="41" t="s">
        <v>432</v>
      </c>
      <c r="I53">
        <v>33</v>
      </c>
      <c r="L53" s="222"/>
    </row>
    <row r="54" spans="3:12" ht="12.75">
      <c r="C54" s="82" t="s">
        <v>434</v>
      </c>
      <c r="D54" s="41" t="s">
        <v>436</v>
      </c>
      <c r="E54" s="82">
        <v>20360</v>
      </c>
      <c r="F54" s="41" t="s">
        <v>91</v>
      </c>
      <c r="G54" s="200"/>
      <c r="H54" s="41" t="s">
        <v>435</v>
      </c>
      <c r="I54">
        <v>34</v>
      </c>
      <c r="L54" s="222"/>
    </row>
    <row r="55" spans="3:12" ht="12.75">
      <c r="C55" s="82" t="s">
        <v>437</v>
      </c>
      <c r="D55" s="41" t="s">
        <v>439</v>
      </c>
      <c r="E55" s="82">
        <f>8237+14916</f>
        <v>23153</v>
      </c>
      <c r="F55" s="41" t="s">
        <v>433</v>
      </c>
      <c r="G55" s="200"/>
      <c r="H55" s="41" t="s">
        <v>438</v>
      </c>
      <c r="L55" s="222"/>
    </row>
    <row r="56" spans="3:12" ht="12.75">
      <c r="C56" s="82" t="s">
        <v>460</v>
      </c>
      <c r="D56" s="41" t="s">
        <v>438</v>
      </c>
      <c r="E56" s="82">
        <f>5488+14000</f>
        <v>19488</v>
      </c>
      <c r="F56" s="41" t="s">
        <v>433</v>
      </c>
      <c r="G56" s="200"/>
      <c r="H56" s="41" t="s">
        <v>461</v>
      </c>
      <c r="L56" s="222"/>
    </row>
    <row r="57" spans="1:12" ht="12.75">
      <c r="A57" t="s">
        <v>468</v>
      </c>
      <c r="C57" s="82" t="s">
        <v>462</v>
      </c>
      <c r="D57" s="41" t="s">
        <v>463</v>
      </c>
      <c r="E57" s="82">
        <f>11000+19400</f>
        <v>30400</v>
      </c>
      <c r="F57" s="41" t="s">
        <v>433</v>
      </c>
      <c r="G57" s="200"/>
      <c r="H57" s="41" t="s">
        <v>464</v>
      </c>
      <c r="L57" s="222"/>
    </row>
    <row r="58" spans="1:12" ht="12.75">
      <c r="A58" t="s">
        <v>467</v>
      </c>
      <c r="C58" s="82" t="s">
        <v>493</v>
      </c>
      <c r="D58" s="41" t="s">
        <v>466</v>
      </c>
      <c r="E58" s="82">
        <f>10000+15490</f>
        <v>25490</v>
      </c>
      <c r="F58" s="41" t="s">
        <v>91</v>
      </c>
      <c r="G58" s="200"/>
      <c r="H58" s="41" t="s">
        <v>465</v>
      </c>
      <c r="L58" s="222"/>
    </row>
    <row r="59" spans="3:12" ht="12.75">
      <c r="C59" s="82" t="s">
        <v>494</v>
      </c>
      <c r="D59" s="41" t="s">
        <v>495</v>
      </c>
      <c r="E59" s="82">
        <f>7362+12640</f>
        <v>20002</v>
      </c>
      <c r="F59" s="41" t="s">
        <v>496</v>
      </c>
      <c r="G59" s="200"/>
      <c r="H59" s="41"/>
      <c r="L59" s="222"/>
    </row>
    <row r="60" spans="3:12" ht="12.75">
      <c r="C60" s="82" t="s">
        <v>492</v>
      </c>
      <c r="D60" s="41" t="s">
        <v>490</v>
      </c>
      <c r="E60" s="82">
        <f>7990+11523</f>
        <v>19513</v>
      </c>
      <c r="F60" s="41" t="s">
        <v>433</v>
      </c>
      <c r="G60" s="200"/>
      <c r="H60" s="41" t="s">
        <v>491</v>
      </c>
      <c r="L60" s="222"/>
    </row>
    <row r="61" spans="3:12" ht="12.75">
      <c r="C61" s="82" t="s">
        <v>512</v>
      </c>
      <c r="D61" s="41" t="s">
        <v>513</v>
      </c>
      <c r="E61" s="82">
        <f>2600+12300</f>
        <v>14900</v>
      </c>
      <c r="F61" s="41" t="s">
        <v>24</v>
      </c>
      <c r="G61" s="200"/>
      <c r="H61" s="41" t="s">
        <v>515</v>
      </c>
      <c r="L61" s="222"/>
    </row>
    <row r="62" spans="3:12" ht="12.75">
      <c r="C62" s="82" t="s">
        <v>140</v>
      </c>
      <c r="D62" s="41" t="s">
        <v>514</v>
      </c>
      <c r="E62" s="82">
        <v>11320</v>
      </c>
      <c r="F62" s="41" t="s">
        <v>24</v>
      </c>
      <c r="G62" s="200"/>
      <c r="H62" s="41" t="s">
        <v>516</v>
      </c>
      <c r="L62" s="222"/>
    </row>
    <row r="63" spans="3:12" ht="12.75">
      <c r="C63" s="82" t="s">
        <v>155</v>
      </c>
      <c r="D63" s="41" t="s">
        <v>517</v>
      </c>
      <c r="E63" s="82">
        <v>12500</v>
      </c>
      <c r="F63" s="41" t="s">
        <v>539</v>
      </c>
      <c r="G63" s="200"/>
      <c r="H63" s="41"/>
      <c r="L63" s="222"/>
    </row>
    <row r="64" spans="3:12" ht="12.75">
      <c r="C64" s="82" t="s">
        <v>158</v>
      </c>
      <c r="D64" s="41"/>
      <c r="E64" s="82">
        <f>9863+9890</f>
        <v>19753</v>
      </c>
      <c r="F64" s="41"/>
      <c r="G64" s="200"/>
      <c r="H64" s="41" t="s">
        <v>540</v>
      </c>
      <c r="L64" s="222"/>
    </row>
    <row r="65" spans="3:12" ht="12.75">
      <c r="C65" s="82" t="s">
        <v>159</v>
      </c>
      <c r="E65" s="82">
        <v>9792</v>
      </c>
      <c r="F65" s="41" t="s">
        <v>433</v>
      </c>
      <c r="G65" s="200"/>
      <c r="H65" s="41" t="s">
        <v>544</v>
      </c>
      <c r="I65" t="s">
        <v>565</v>
      </c>
      <c r="L65" s="222"/>
    </row>
    <row r="66" spans="3:12" ht="12.75">
      <c r="C66" s="82" t="s">
        <v>222</v>
      </c>
      <c r="D66" s="41" t="s">
        <v>540</v>
      </c>
      <c r="E66" s="82">
        <v>5000</v>
      </c>
      <c r="F66" s="41" t="s">
        <v>91</v>
      </c>
      <c r="G66" s="200"/>
      <c r="H66" s="41" t="s">
        <v>563</v>
      </c>
      <c r="L66" s="222"/>
    </row>
    <row r="67" spans="3:12" ht="12.75">
      <c r="C67" s="82" t="s">
        <v>245</v>
      </c>
      <c r="D67" s="41" t="s">
        <v>563</v>
      </c>
      <c r="E67" s="82">
        <v>12500</v>
      </c>
      <c r="F67" s="41" t="s">
        <v>91</v>
      </c>
      <c r="G67" s="200"/>
      <c r="H67" s="41" t="s">
        <v>567</v>
      </c>
      <c r="L67" s="222"/>
    </row>
    <row r="68" spans="3:12" ht="12.75">
      <c r="C68" s="107" t="s">
        <v>266</v>
      </c>
      <c r="D68" s="107"/>
      <c r="E68" s="107">
        <f>SUM(E14:E63)</f>
        <v>792748</v>
      </c>
      <c r="F68" s="41" t="s">
        <v>24</v>
      </c>
      <c r="G68" s="82"/>
      <c r="H68" s="41">
        <v>26.06</v>
      </c>
      <c r="I68">
        <v>26</v>
      </c>
      <c r="J68" s="206">
        <f>E68/183</f>
        <v>4331.956284153005</v>
      </c>
      <c r="L68" s="222">
        <f>SUM(E37:E44)</f>
        <v>107070</v>
      </c>
    </row>
    <row r="69" spans="3:8" ht="12.75">
      <c r="C69" s="180"/>
      <c r="D69" s="180"/>
      <c r="E69" s="180"/>
      <c r="F69" s="41"/>
      <c r="G69" s="82"/>
      <c r="H69" s="41"/>
    </row>
    <row r="70" spans="3:12" s="15" customFormat="1" ht="12.75">
      <c r="C70" s="180"/>
      <c r="D70" s="180"/>
      <c r="E70" s="180"/>
      <c r="F70" s="82"/>
      <c r="G70" s="82"/>
      <c r="H70" s="82"/>
      <c r="L70" s="200" t="s">
        <v>315</v>
      </c>
    </row>
    <row r="71" spans="3:12" ht="12.75">
      <c r="C71" s="174" t="s">
        <v>287</v>
      </c>
      <c r="D71" s="174"/>
      <c r="E71" s="180">
        <v>347244</v>
      </c>
      <c r="F71" s="41" t="s">
        <v>24</v>
      </c>
      <c r="G71" s="178" t="s">
        <v>286</v>
      </c>
      <c r="H71" s="41"/>
      <c r="J71" s="191">
        <f>E71/183</f>
        <v>1897.5081967213114</v>
      </c>
      <c r="L71" s="183">
        <v>15250</v>
      </c>
    </row>
    <row r="72" spans="3:12" ht="12.75">
      <c r="C72" s="174" t="s">
        <v>287</v>
      </c>
      <c r="D72" s="174" t="s">
        <v>273</v>
      </c>
      <c r="E72" s="174">
        <v>169859</v>
      </c>
      <c r="F72" s="41" t="s">
        <v>288</v>
      </c>
      <c r="G72" s="82"/>
      <c r="H72" s="82"/>
      <c r="J72" s="191">
        <f>E72/183</f>
        <v>928.1912568306011</v>
      </c>
      <c r="L72" s="183">
        <v>9660</v>
      </c>
    </row>
    <row r="73" spans="3:12" ht="12.75">
      <c r="C73" s="174" t="s">
        <v>287</v>
      </c>
      <c r="D73" s="174"/>
      <c r="E73" s="201">
        <f>346854+9660+15250+12400+12600+13500+12000+10000</f>
        <v>432264</v>
      </c>
      <c r="F73" s="41" t="s">
        <v>288</v>
      </c>
      <c r="G73" s="178" t="s">
        <v>316</v>
      </c>
      <c r="H73" s="82"/>
      <c r="J73" s="192">
        <f>E73/183</f>
        <v>2362.098360655738</v>
      </c>
      <c r="L73" s="183">
        <v>12400</v>
      </c>
    </row>
    <row r="74" spans="3:12" s="15" customFormat="1" ht="12.75">
      <c r="C74" s="180"/>
      <c r="D74" s="180"/>
      <c r="E74" s="180"/>
      <c r="F74" s="82"/>
      <c r="G74" s="82"/>
      <c r="H74" s="82"/>
      <c r="L74" s="183">
        <v>12600</v>
      </c>
    </row>
    <row r="75" spans="3:12" ht="12.75">
      <c r="C75" s="175" t="s">
        <v>134</v>
      </c>
      <c r="D75" s="175"/>
      <c r="E75" s="175"/>
      <c r="F75" s="175"/>
      <c r="G75" s="175"/>
      <c r="H75" s="175"/>
      <c r="L75" s="183">
        <v>13500</v>
      </c>
    </row>
    <row r="76" spans="3:12" ht="12.75">
      <c r="C76" s="41"/>
      <c r="D76" s="41" t="s">
        <v>136</v>
      </c>
      <c r="E76" s="41">
        <v>948</v>
      </c>
      <c r="F76" s="41" t="s">
        <v>91</v>
      </c>
      <c r="G76" s="82">
        <v>941</v>
      </c>
      <c r="H76" s="41" t="s">
        <v>106</v>
      </c>
      <c r="L76" s="183">
        <v>12000</v>
      </c>
    </row>
    <row r="77" spans="3:8" ht="12.75">
      <c r="C77" s="41"/>
      <c r="D77" s="41"/>
      <c r="E77" s="41"/>
      <c r="F77" s="41"/>
      <c r="G77" s="41"/>
      <c r="H77" s="41"/>
    </row>
    <row r="78" spans="3:8" ht="12.75">
      <c r="C78" s="175" t="s">
        <v>135</v>
      </c>
      <c r="D78" s="175"/>
      <c r="E78" s="175"/>
      <c r="F78" s="175"/>
      <c r="G78" s="175"/>
      <c r="H78" s="175"/>
    </row>
    <row r="79" spans="3:8" ht="12.75">
      <c r="C79" s="41"/>
      <c r="D79" s="41" t="s">
        <v>138</v>
      </c>
      <c r="E79" s="41">
        <v>300</v>
      </c>
      <c r="F79" s="41"/>
      <c r="G79" s="41">
        <v>305</v>
      </c>
      <c r="H79" s="41"/>
    </row>
    <row r="80" spans="3:8" ht="12.75">
      <c r="C80" s="41"/>
      <c r="D80" s="41"/>
      <c r="E80" s="41"/>
      <c r="F80" s="41"/>
      <c r="G80" s="41">
        <v>93</v>
      </c>
      <c r="H80" s="41"/>
    </row>
    <row r="81" spans="3:8" ht="12.75">
      <c r="C81" s="41"/>
      <c r="D81" s="41"/>
      <c r="E81" s="41"/>
      <c r="F81" s="41"/>
      <c r="G81" s="41"/>
      <c r="H81" s="41"/>
    </row>
    <row r="82" spans="3:8" ht="12.75">
      <c r="C82" s="41"/>
      <c r="D82" s="41"/>
      <c r="E82" s="41"/>
      <c r="F82" s="41"/>
      <c r="G82" s="41"/>
      <c r="H82" s="41"/>
    </row>
    <row r="83" spans="3:13" ht="12.75">
      <c r="C83" s="41"/>
      <c r="D83" s="41" t="s">
        <v>137</v>
      </c>
      <c r="E83" s="41">
        <v>606</v>
      </c>
      <c r="F83" s="41" t="s">
        <v>91</v>
      </c>
      <c r="G83" s="82"/>
      <c r="H83" s="41"/>
      <c r="M83">
        <v>26200</v>
      </c>
    </row>
    <row r="84" spans="3:13" ht="12.75">
      <c r="C84" s="41" t="s">
        <v>142</v>
      </c>
      <c r="D84" s="41" t="s">
        <v>128</v>
      </c>
      <c r="E84" s="41">
        <v>10550</v>
      </c>
      <c r="F84" s="41" t="s">
        <v>91</v>
      </c>
      <c r="G84" s="82"/>
      <c r="H84" s="41"/>
      <c r="M84">
        <v>-11150</v>
      </c>
    </row>
    <row r="85" spans="1:13" ht="12.75">
      <c r="A85">
        <v>28</v>
      </c>
      <c r="B85" t="s">
        <v>408</v>
      </c>
      <c r="C85" s="82" t="s">
        <v>405</v>
      </c>
      <c r="D85" s="41" t="s">
        <v>406</v>
      </c>
      <c r="E85" s="82">
        <v>4980</v>
      </c>
      <c r="F85" s="41" t="s">
        <v>91</v>
      </c>
      <c r="G85" s="200" t="s">
        <v>315</v>
      </c>
      <c r="H85" s="41" t="s">
        <v>407</v>
      </c>
      <c r="M85" s="82">
        <v>-4980</v>
      </c>
    </row>
    <row r="86" spans="3:13" ht="12.75">
      <c r="C86" s="82" t="s">
        <v>410</v>
      </c>
      <c r="D86" s="41" t="s">
        <v>411</v>
      </c>
      <c r="E86" s="82">
        <v>8390</v>
      </c>
      <c r="F86" s="41" t="s">
        <v>91</v>
      </c>
      <c r="G86" s="200"/>
      <c r="H86" s="41" t="s">
        <v>412</v>
      </c>
      <c r="M86" s="82">
        <v>-8390</v>
      </c>
    </row>
    <row r="87" spans="3:13" ht="12.75">
      <c r="C87" s="82" t="s">
        <v>419</v>
      </c>
      <c r="D87" s="41" t="s">
        <v>417</v>
      </c>
      <c r="E87" s="82">
        <v>2400</v>
      </c>
      <c r="F87" s="41" t="s">
        <v>91</v>
      </c>
      <c r="G87" s="200"/>
      <c r="H87" s="41" t="s">
        <v>418</v>
      </c>
      <c r="M87" s="9"/>
    </row>
    <row r="88" spans="3:8" ht="12.75">
      <c r="C88" s="81" t="s">
        <v>409</v>
      </c>
      <c r="D88" s="81"/>
      <c r="E88" s="81">
        <f>SUM(E79:E87)</f>
        <v>27226</v>
      </c>
      <c r="F88" s="41"/>
      <c r="G88" s="41"/>
      <c r="H88" s="41"/>
    </row>
    <row r="89" spans="3:8" ht="12.75">
      <c r="C89" s="82"/>
      <c r="D89" s="82"/>
      <c r="E89" s="82"/>
      <c r="F89" s="41"/>
      <c r="G89" s="41"/>
      <c r="H89" s="41"/>
    </row>
    <row r="90" spans="3:10" ht="12.75">
      <c r="C90" s="174" t="s">
        <v>287</v>
      </c>
      <c r="D90" s="174"/>
      <c r="E90" s="174">
        <v>10625</v>
      </c>
      <c r="F90" s="41" t="s">
        <v>24</v>
      </c>
      <c r="G90" s="82"/>
      <c r="H90" s="41"/>
      <c r="J90" s="191">
        <f>E90/6</f>
        <v>1770.8333333333333</v>
      </c>
    </row>
    <row r="91" spans="3:10" ht="12.75">
      <c r="C91" s="174" t="s">
        <v>287</v>
      </c>
      <c r="D91" s="174"/>
      <c r="E91" s="174">
        <v>10604</v>
      </c>
      <c r="F91" s="41" t="s">
        <v>288</v>
      </c>
      <c r="G91" s="82"/>
      <c r="H91" s="41"/>
      <c r="J91" s="192">
        <f>E91/6</f>
        <v>1767.3333333333333</v>
      </c>
    </row>
    <row r="92" spans="3:8" ht="12.75">
      <c r="C92" s="41"/>
      <c r="D92" s="41"/>
      <c r="E92" s="41"/>
      <c r="F92" s="41"/>
      <c r="G92" s="41"/>
      <c r="H92" s="41"/>
    </row>
    <row r="93" spans="3:8" ht="12.75">
      <c r="C93" s="175" t="s">
        <v>562</v>
      </c>
      <c r="D93" s="175"/>
      <c r="E93" s="175"/>
      <c r="F93" s="175"/>
      <c r="G93" s="175"/>
      <c r="H93" s="175"/>
    </row>
    <row r="94" spans="3:8" ht="12.75">
      <c r="C94" s="41"/>
      <c r="D94" t="s">
        <v>564</v>
      </c>
      <c r="E94" s="41">
        <v>2500</v>
      </c>
      <c r="F94" s="41" t="s">
        <v>91</v>
      </c>
      <c r="G94" s="41"/>
      <c r="H94" s="41" t="s">
        <v>563</v>
      </c>
    </row>
    <row r="95" spans="3:8" ht="12.75">
      <c r="C95" s="41"/>
      <c r="D95" s="41"/>
      <c r="E95" s="41"/>
      <c r="F95" s="41"/>
      <c r="G95" s="41"/>
      <c r="H95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2006-11-27T16:03:43Z</cp:lastPrinted>
  <dcterms:created xsi:type="dcterms:W3CDTF">2005-04-30T08:59:53Z</dcterms:created>
  <dcterms:modified xsi:type="dcterms:W3CDTF">2006-12-19T16:04:17Z</dcterms:modified>
  <cp:category/>
  <cp:version/>
  <cp:contentType/>
  <cp:contentStatus/>
</cp:coreProperties>
</file>