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heet3" sheetId="2" r:id="rId2"/>
  </sheets>
  <definedNames>
    <definedName name="_xlnm.Print_Area" localSheetId="0">'BLM chambers'!$A$1:$AK$82</definedName>
    <definedName name="Z_1E92D746_8DA4_46FE_A015_5B53E5097C4F_.wvu.PrintArea" localSheetId="0" hidden="1">'BLM chambers'!$A$1:$AK$82</definedName>
    <definedName name="Z_63DF7B8E_55FC_4540_9521_9B1B7D3BF258_.wvu.PrintArea" localSheetId="0" hidden="1">'BLM chambers'!$A$1:$AK$82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L17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in m
0.082 /ion</t>
        </r>
      </text>
    </comment>
    <comment ref="D4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</t>
        </r>
      </text>
    </comment>
    <comment ref="U63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U6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F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H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</t>
        </r>
      </text>
    </comment>
    <comment ref="U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U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U6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U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U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U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</t>
        </r>
      </text>
    </comment>
    <comment ref="S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B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B3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B3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S3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B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S3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B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S5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B62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J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F72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singel supports
</t>
        </r>
      </text>
    </comment>
    <comment ref="F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J73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eholzer:
minus number of singel supports
</t>
        </r>
      </text>
    </comment>
    <comment ref="F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J74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minus number of single supports
</t>
        </r>
      </text>
    </comment>
    <comment ref="T63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4" authorId="0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5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T66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7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T68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T69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T70" authorId="2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M15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M19" authorId="1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</commentList>
</comments>
</file>

<file path=xl/sharedStrings.xml><?xml version="1.0" encoding="utf-8"?>
<sst xmlns="http://schemas.openxmlformats.org/spreadsheetml/2006/main" count="282" uniqueCount="175">
  <si>
    <t>comments</t>
  </si>
  <si>
    <t>Sub-System</t>
  </si>
  <si>
    <t>Total</t>
  </si>
  <si>
    <t>total needed quantity</t>
  </si>
  <si>
    <t>feed throughs</t>
  </si>
  <si>
    <t>delivery schedule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</si>
  <si>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</si>
  <si>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</si>
  <si>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</si>
  <si>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</si>
  <si>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</si>
  <si>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</si>
  <si>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</si>
  <si>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</si>
  <si>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</si>
  <si>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</si>
  <si>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</si>
  <si>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</si>
  <si>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</si>
  <si>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</si>
  <si>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 xml:space="preserve">Ceramics LHCBLM__0005  v.AC 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</si>
  <si>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</si>
  <si>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</si>
  <si>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</si>
  <si>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</si>
  <si>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</si>
  <si>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</si>
  <si>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</si>
  <si>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</si>
  <si>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</si>
  <si>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47.43.77.040.1</t>
  </si>
  <si>
    <t>47.78.09.004.1</t>
  </si>
  <si>
    <t>47.62.96.101.1</t>
  </si>
  <si>
    <t>12.00</t>
  </si>
  <si>
    <t>checked by?</t>
  </si>
  <si>
    <t>unit price</t>
  </si>
  <si>
    <t>total price</t>
  </si>
  <si>
    <t xml:space="preserve">ordered by? </t>
  </si>
  <si>
    <t>received</t>
  </si>
  <si>
    <t xml:space="preserve"> date of receiving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</si>
  <si>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</si>
  <si>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</si>
  <si>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</si>
  <si>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</si>
  <si>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</si>
  <si>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</si>
  <si>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</si>
  <si>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</si>
  <si>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</si>
  <si>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</si>
  <si>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</si>
  <si>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</si>
  <si>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</si>
  <si>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</si>
  <si>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</si>
  <si>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</si>
  <si>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</si>
  <si>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</si>
  <si>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</si>
  <si>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</si>
  <si>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</si>
  <si>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</si>
  <si>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</si>
  <si>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</si>
  <si>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</si>
  <si>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</si>
  <si>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</si>
  <si>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</si>
  <si>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</si>
  <si>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</si>
  <si>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</si>
  <si>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</si>
  <si>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</si>
  <si>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</si>
  <si>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production LHCBLM__0004 0.5X82</t>
  </si>
  <si>
    <t>Al electrodes 0.5 AL material</t>
  </si>
  <si>
    <t>LEGENDE: blue background means entered or checked by EBH, grey letters means: obsolete, deleted by EBH, grey backround means: cannot be checked by EBH</t>
  </si>
  <si>
    <t>electrode spacer LHCBLM__0007 type B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</si>
  <si>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</si>
  <si>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</si>
  <si>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</si>
  <si>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</si>
  <si>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</si>
  <si>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</si>
  <si>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</si>
  <si>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</si>
  <si>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</si>
  <si>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</si>
  <si>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</si>
  <si>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</si>
  <si>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</si>
  <si>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</si>
  <si>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</si>
  <si>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</si>
  <si>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</si>
  <si>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</si>
  <si>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</si>
  <si>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</si>
  <si>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</si>
  <si>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</si>
  <si>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</si>
  <si>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</si>
  <si>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</si>
  <si>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</si>
  <si>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</si>
  <si>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</si>
  <si>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</si>
  <si>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spacer LHCBLM__0008 type A, 316L</t>
  </si>
  <si>
    <t>cover spacer LHCBLM__0008 type B,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</si>
  <si>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</si>
  <si>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</si>
  <si>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</si>
  <si>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</si>
  <si>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</si>
  <si>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</si>
  <si>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</si>
  <si>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</si>
  <si>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</si>
  <si>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</si>
  <si>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</si>
  <si>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</si>
  <si>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to be ordered</t>
  </si>
  <si>
    <t>check!!:</t>
  </si>
  <si>
    <t>EBH/JMM</t>
  </si>
  <si>
    <t>BD/JMM</t>
  </si>
  <si>
    <t>CV</t>
  </si>
  <si>
    <t>EBH/JJM</t>
  </si>
  <si>
    <t>cover  plate LHCBLM__0003, 316L, material</t>
  </si>
  <si>
    <t>tube inox 304L 483x88.9x2.0 LHCBLM__0040</t>
  </si>
  <si>
    <t>tube inox 304L 109x88.9x2.0 LHCBLM__0040</t>
  </si>
  <si>
    <t>102?</t>
  </si>
  <si>
    <t>4 still at CERN</t>
  </si>
  <si>
    <t>59- still at CERN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</si>
  <si>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</si>
  <si>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</si>
  <si>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</si>
  <si>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</si>
  <si>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</si>
  <si>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</si>
  <si>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</si>
  <si>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</si>
  <si>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</si>
  <si>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</si>
  <si>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</si>
  <si>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</si>
  <si>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</si>
  <si>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</si>
  <si>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</si>
  <si>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</si>
  <si>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24.10+10d</t>
  </si>
  <si>
    <t>47.62.72.996.0</t>
  </si>
  <si>
    <t>47.62.72.996.8</t>
  </si>
  <si>
    <t>47.62.72.998.2</t>
  </si>
  <si>
    <t>34 "spare"</t>
  </si>
  <si>
    <t>still to arrive</t>
  </si>
  <si>
    <t>29.11.2005</t>
  </si>
  <si>
    <t>29.11.2004</t>
  </si>
  <si>
    <t>label (self adhesive) for chambers</t>
  </si>
  <si>
    <t>07.12.2005</t>
  </si>
  <si>
    <t>:25000</t>
  </si>
  <si>
    <t>500 IC heads (Aerovac)</t>
  </si>
  <si>
    <t>TIG welding job</t>
  </si>
  <si>
    <t>TIG welding of heads (IHEP or company)</t>
  </si>
  <si>
    <t>supports</t>
  </si>
  <si>
    <t>arc support bracket (inox) plus rilsan coating</t>
  </si>
  <si>
    <t>arc stainless steel ties</t>
  </si>
  <si>
    <t>arc support plate (Al) plus rilsan coating</t>
  </si>
  <si>
    <t>support LSS</t>
  </si>
  <si>
    <t>12/-5 - 01/06</t>
  </si>
  <si>
    <t>12/-5 - 01/07</t>
  </si>
  <si>
    <t>28.11.2005</t>
  </si>
  <si>
    <t>cutting and anealing of copper tube</t>
  </si>
  <si>
    <t>to be shippied Protvino06</t>
  </si>
  <si>
    <t>shipped to Protvino 2005</t>
  </si>
  <si>
    <t>50+??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</si>
</sst>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4" fillId="2" borderId="3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2" borderId="6" xfId="0" applyNumberFormat="1" applyFont="1" applyFill="1" applyBorder="1" applyAlignment="1">
      <alignment horizontal="center" vertical="top" wrapText="1"/>
    </xf>
    <xf numFmtId="1" fontId="0" fillId="0" borderId="7" xfId="0" applyNumberForma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 vertical="top" wrapText="1"/>
    </xf>
    <xf numFmtId="184" fontId="0" fillId="0" borderId="7" xfId="0" applyNumberFormat="1" applyBorder="1" applyAlignment="1">
      <alignment/>
    </xf>
    <xf numFmtId="1" fontId="5" fillId="0" borderId="7" xfId="0" applyNumberFormat="1" applyFont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/>
    </xf>
    <xf numFmtId="1" fontId="6" fillId="2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" fontId="0" fillId="3" borderId="7" xfId="0" applyNumberForma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84" fontId="0" fillId="3" borderId="7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7" xfId="0" applyNumberFormat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" fontId="0" fillId="4" borderId="11" xfId="0" applyNumberFormat="1" applyFill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4" borderId="12" xfId="0" applyNumberForma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" fontId="5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184" fontId="0" fillId="3" borderId="7" xfId="0" applyNumberFormat="1" applyFont="1" applyFill="1" applyBorder="1" applyAlignment="1">
      <alignment/>
    </xf>
    <xf numFmtId="1" fontId="0" fillId="3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" fillId="3" borderId="2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Alignment="1">
      <alignment/>
    </xf>
    <xf numFmtId="0" fontId="0" fillId="3" borderId="0" xfId="0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8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right"/>
    </xf>
    <xf numFmtId="1" fontId="0" fillId="4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3" xfId="0" applyFont="1" applyFill="1" applyBorder="1" applyAlignment="1">
      <alignment horizontal="right"/>
    </xf>
    <xf numFmtId="0" fontId="0" fillId="4" borderId="13" xfId="0" applyFill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4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8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5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5" fillId="7" borderId="13" xfId="0" applyNumberFormat="1" applyFon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/>
    </xf>
    <xf numFmtId="1" fontId="5" fillId="7" borderId="13" xfId="0" applyNumberFormat="1" applyFont="1" applyFill="1" applyBorder="1" applyAlignment="1">
      <alignment horizontal="center"/>
    </xf>
    <xf numFmtId="1" fontId="5" fillId="4" borderId="13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top" wrapText="1"/>
    </xf>
    <xf numFmtId="1" fontId="6" fillId="2" borderId="6" xfId="0" applyNumberFormat="1" applyFont="1" applyFill="1" applyBorder="1" applyAlignment="1">
      <alignment horizontal="center" vertical="top" wrapText="1"/>
    </xf>
    <xf numFmtId="1" fontId="5" fillId="3" borderId="0" xfId="0" applyNumberFormat="1" applyFont="1" applyFill="1" applyAlignment="1">
      <alignment horizontal="center"/>
    </xf>
    <xf numFmtId="185" fontId="4" fillId="2" borderId="6" xfId="0" applyNumberFormat="1" applyFont="1" applyFill="1" applyBorder="1" applyAlignment="1">
      <alignment horizontal="center" vertical="top" wrapText="1"/>
    </xf>
    <xf numFmtId="185" fontId="0" fillId="4" borderId="7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5" fontId="0" fillId="3" borderId="7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4" fillId="2" borderId="8" xfId="0" applyNumberFormat="1" applyFont="1" applyFill="1" applyBorder="1" applyAlignment="1">
      <alignment horizontal="center"/>
    </xf>
    <xf numFmtId="184" fontId="0" fillId="7" borderId="13" xfId="0" applyNumberFormat="1" applyFill="1" applyBorder="1" applyAlignment="1">
      <alignment horizontal="center"/>
    </xf>
    <xf numFmtId="184" fontId="0" fillId="0" borderId="13" xfId="0" applyNumberFormat="1" applyFill="1" applyBorder="1" applyAlignment="1">
      <alignment horizontal="center"/>
    </xf>
    <xf numFmtId="184" fontId="0" fillId="4" borderId="13" xfId="0" applyNumberFormat="1" applyFill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184" fontId="0" fillId="3" borderId="13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4" fontId="0" fillId="4" borderId="13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1" fontId="0" fillId="3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16" xfId="0" applyNumberFormat="1" applyFont="1" applyFill="1" applyBorder="1" applyAlignment="1">
      <alignment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84" fontId="0" fillId="0" borderId="0" xfId="0" applyNumberFormat="1" applyBorder="1" applyAlignment="1">
      <alignment/>
    </xf>
    <xf numFmtId="1" fontId="5" fillId="8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8" borderId="13" xfId="0" applyFont="1" applyFill="1" applyBorder="1" applyAlignment="1">
      <alignment/>
    </xf>
    <xf numFmtId="17" fontId="0" fillId="4" borderId="13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0" fillId="8" borderId="13" xfId="0" applyFill="1" applyBorder="1" applyAlignment="1">
      <alignment/>
    </xf>
    <xf numFmtId="0" fontId="4" fillId="3" borderId="2" xfId="0" applyFont="1" applyFill="1" applyBorder="1" applyAlignment="1">
      <alignment/>
    </xf>
    <xf numFmtId="1" fontId="0" fillId="8" borderId="0" xfId="0" applyNumberForma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right"/>
    </xf>
    <xf numFmtId="1" fontId="0" fillId="4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1" fontId="5" fillId="4" borderId="1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1" fontId="0" fillId="0" borderId="18" xfId="0" applyNumberFormat="1" applyFill="1" applyBorder="1" applyAlignment="1">
      <alignment horizontal="center"/>
    </xf>
    <xf numFmtId="0" fontId="0" fillId="8" borderId="13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8" borderId="17" xfId="0" applyFont="1" applyFill="1" applyBorder="1" applyAlignment="1">
      <alignment/>
    </xf>
    <xf numFmtId="1" fontId="0" fillId="9" borderId="13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84" fontId="0" fillId="0" borderId="13" xfId="0" applyNumberFormat="1" applyBorder="1" applyAlignment="1">
      <alignment vertical="center"/>
    </xf>
    <xf numFmtId="184" fontId="0" fillId="0" borderId="13" xfId="0" applyNumberFormat="1" applyBorder="1" applyAlignment="1">
      <alignment/>
    </xf>
    <xf numFmtId="184" fontId="0" fillId="0" borderId="13" xfId="0" applyNumberFormat="1" applyFill="1" applyBorder="1" applyAlignment="1">
      <alignment/>
    </xf>
    <xf numFmtId="184" fontId="0" fillId="0" borderId="0" xfId="0" applyNumberFormat="1" applyAlignment="1">
      <alignment/>
    </xf>
    <xf numFmtId="184" fontId="0" fillId="3" borderId="7" xfId="0" applyNumberFormat="1" applyFill="1" applyBorder="1" applyAlignment="1">
      <alignment/>
    </xf>
    <xf numFmtId="184" fontId="0" fillId="0" borderId="0" xfId="0" applyNumberFormat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184" fontId="0" fillId="3" borderId="7" xfId="0" applyNumberFormat="1" applyFont="1" applyFill="1" applyBorder="1" applyAlignment="1">
      <alignment/>
    </xf>
    <xf numFmtId="184" fontId="0" fillId="7" borderId="13" xfId="0" applyNumberFormat="1" applyFill="1" applyBorder="1" applyAlignment="1">
      <alignment/>
    </xf>
    <xf numFmtId="0" fontId="4" fillId="2" borderId="6" xfId="0" applyNumberFormat="1" applyFont="1" applyFill="1" applyBorder="1" applyAlignment="1">
      <alignment vertical="top" wrapText="1"/>
    </xf>
    <xf numFmtId="1" fontId="0" fillId="0" borderId="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3" borderId="7" xfId="0" applyNumberFormat="1" applyFill="1" applyBorder="1" applyAlignment="1">
      <alignment/>
    </xf>
    <xf numFmtId="1" fontId="4" fillId="2" borderId="8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10" borderId="0" xfId="0" applyNumberFormat="1" applyFill="1" applyBorder="1" applyAlignment="1">
      <alignment horizontal="center"/>
    </xf>
    <xf numFmtId="1" fontId="0" fillId="9" borderId="13" xfId="0" applyNumberFormat="1" applyFont="1" applyFill="1" applyBorder="1" applyAlignment="1">
      <alignment horizontal="center"/>
    </xf>
    <xf numFmtId="1" fontId="0" fillId="10" borderId="13" xfId="0" applyNumberFormat="1" applyFont="1" applyFill="1" applyBorder="1" applyAlignment="1">
      <alignment horizontal="center"/>
    </xf>
    <xf numFmtId="184" fontId="0" fillId="5" borderId="13" xfId="0" applyNumberFormat="1" applyFill="1" applyBorder="1" applyAlignment="1">
      <alignment/>
    </xf>
    <xf numFmtId="1" fontId="0" fillId="11" borderId="13" xfId="0" applyNumberFormat="1" applyFill="1" applyBorder="1" applyAlignment="1">
      <alignment horizontal="center"/>
    </xf>
    <xf numFmtId="1" fontId="0" fillId="12" borderId="1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"/>
  <sheetViews>
    <sheetView tabSelected="1" zoomScaleSheetLayoutView="75" workbookViewId="0" topLeftCell="A1">
      <pane xSplit="2" ySplit="1" topLeftCell="F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8" sqref="H18"/>
    </sheetView>
  </sheetViews>
  <sheetFormatPr defaultColWidth="9.140625" defaultRowHeight="12.75"/>
  <cols>
    <col min="1" max="1" width="3.7109375" style="0" customWidth="1"/>
    <col min="2" max="2" width="39.00390625" style="0" customWidth="1"/>
    <col min="3" max="3" width="15.7109375" style="0" customWidth="1"/>
    <col min="4" max="4" width="17.00390625" style="0" customWidth="1"/>
    <col min="5" max="5" width="8.8515625" style="0" customWidth="1"/>
    <col min="6" max="6" width="9.28125" style="0" customWidth="1"/>
    <col min="7" max="7" width="7.8515625" style="0" customWidth="1"/>
    <col min="8" max="8" width="10.57421875" style="11" customWidth="1"/>
    <col min="9" max="9" width="6.421875" style="12" customWidth="1"/>
    <col min="10" max="10" width="12.28125" style="14" customWidth="1"/>
    <col min="11" max="11" width="12.28125" style="13" customWidth="1"/>
    <col min="12" max="12" width="10.57421875" style="11" customWidth="1"/>
    <col min="13" max="13" width="10.57421875" style="128" customWidth="1"/>
    <col min="14" max="17" width="10.57421875" style="11" customWidth="1"/>
    <col min="18" max="18" width="10.57421875" style="42" customWidth="1"/>
    <col min="19" max="20" width="10.57421875" style="11" customWidth="1"/>
    <col min="21" max="21" width="10.57421875" style="186" customWidth="1"/>
    <col min="22" max="22" width="10.57421875" style="11" customWidth="1"/>
    <col min="23" max="23" width="10.57421875" style="0" customWidth="1"/>
    <col min="24" max="24" width="86.00390625" style="4" customWidth="1"/>
  </cols>
  <sheetData>
    <row r="1" spans="2:35" s="10" customFormat="1" ht="42.75" customHeight="1">
      <c r="B1" s="8" t="s">
        <v>1</v>
      </c>
      <c r="C1" s="25" t="s">
        <v>8</v>
      </c>
      <c r="D1" s="25" t="s">
        <v>19</v>
      </c>
      <c r="E1" s="25" t="s">
        <v>48</v>
      </c>
      <c r="F1" s="15" t="s">
        <v>53</v>
      </c>
      <c r="G1" s="15" t="s">
        <v>52</v>
      </c>
      <c r="H1" s="15" t="s">
        <v>54</v>
      </c>
      <c r="I1" s="120" t="s">
        <v>51</v>
      </c>
      <c r="J1" s="121" t="s">
        <v>3</v>
      </c>
      <c r="K1" s="18" t="s">
        <v>6</v>
      </c>
      <c r="L1" s="15" t="s">
        <v>37</v>
      </c>
      <c r="M1" s="123" t="s">
        <v>121</v>
      </c>
      <c r="N1" s="15" t="s">
        <v>38</v>
      </c>
      <c r="O1" s="15" t="s">
        <v>39</v>
      </c>
      <c r="P1" s="15" t="s">
        <v>154</v>
      </c>
      <c r="Q1" s="15" t="s">
        <v>18</v>
      </c>
      <c r="R1" s="15" t="s">
        <v>34</v>
      </c>
      <c r="S1" s="15" t="s">
        <v>5</v>
      </c>
      <c r="T1" s="15" t="s">
        <v>173</v>
      </c>
      <c r="U1" s="181" t="s">
        <v>172</v>
      </c>
      <c r="V1" s="15" t="s">
        <v>35</v>
      </c>
      <c r="W1" s="15" t="s">
        <v>36</v>
      </c>
      <c r="X1" s="9" t="s">
        <v>0</v>
      </c>
      <c r="Y1" s="144"/>
      <c r="Z1" s="145"/>
      <c r="AA1" s="145"/>
      <c r="AB1" s="145"/>
      <c r="AC1" s="145"/>
      <c r="AD1" s="145"/>
      <c r="AE1" s="145"/>
      <c r="AF1" s="145"/>
      <c r="AG1" s="145"/>
      <c r="AH1" s="145"/>
      <c r="AI1" s="145"/>
    </row>
    <row r="2" spans="3:25" ht="12.75">
      <c r="C2" s="50" t="s">
        <v>76</v>
      </c>
      <c r="D2" s="46"/>
      <c r="E2" s="46"/>
      <c r="F2" s="46"/>
      <c r="G2" s="46"/>
      <c r="H2" s="47"/>
      <c r="I2" s="44"/>
      <c r="J2" s="48"/>
      <c r="K2" s="48"/>
      <c r="L2" s="49"/>
      <c r="M2" s="124"/>
      <c r="N2" s="49"/>
      <c r="O2" s="49"/>
      <c r="P2" s="49"/>
      <c r="Q2" s="16"/>
      <c r="R2" s="40"/>
      <c r="S2" s="16"/>
      <c r="T2" s="16"/>
      <c r="U2" s="182"/>
      <c r="V2" s="16"/>
      <c r="W2" s="19"/>
      <c r="X2" s="5"/>
      <c r="Y2" s="1"/>
    </row>
    <row r="3" spans="2:25" ht="12.75">
      <c r="B3" s="6"/>
      <c r="C3" s="26"/>
      <c r="D3" s="26"/>
      <c r="E3" s="26"/>
      <c r="F3" s="26"/>
      <c r="G3" s="26"/>
      <c r="H3" s="16"/>
      <c r="I3" s="16"/>
      <c r="J3" s="20"/>
      <c r="K3" s="20"/>
      <c r="L3" s="16"/>
      <c r="M3" s="125"/>
      <c r="N3" s="16"/>
      <c r="O3" s="16"/>
      <c r="P3" s="16"/>
      <c r="Q3" s="16"/>
      <c r="R3" s="40"/>
      <c r="S3" s="16"/>
      <c r="T3" s="16"/>
      <c r="U3" s="182"/>
      <c r="V3" s="16"/>
      <c r="W3" s="19"/>
      <c r="X3" s="5"/>
      <c r="Y3" s="1"/>
    </row>
    <row r="4" spans="1:25" ht="12.75">
      <c r="A4" s="45" t="s">
        <v>55</v>
      </c>
      <c r="B4" s="85"/>
      <c r="C4" s="69"/>
      <c r="D4" s="69"/>
      <c r="E4" s="69"/>
      <c r="F4" s="78">
        <v>3799</v>
      </c>
      <c r="G4" s="78">
        <f>$F4*0.5/100</f>
        <v>18.995</v>
      </c>
      <c r="H4" s="81">
        <v>315</v>
      </c>
      <c r="I4" s="78">
        <f>$H4*1/100</f>
        <v>3.15</v>
      </c>
      <c r="J4" s="91">
        <f>F4+G4+H4+I4</f>
        <v>4136.1449999999995</v>
      </c>
      <c r="K4" s="71"/>
      <c r="L4" s="70"/>
      <c r="M4" s="126"/>
      <c r="N4" s="70"/>
      <c r="O4" s="70"/>
      <c r="P4" s="70"/>
      <c r="Q4" s="70"/>
      <c r="R4" s="72"/>
      <c r="S4" s="70"/>
      <c r="T4" s="70"/>
      <c r="U4" s="183"/>
      <c r="V4" s="70"/>
      <c r="W4" s="73"/>
      <c r="X4" s="74"/>
      <c r="Y4" s="1"/>
    </row>
    <row r="5" spans="1:25" s="36" customFormat="1" ht="12.75">
      <c r="A5" s="61" t="s">
        <v>80</v>
      </c>
      <c r="C5" s="30"/>
      <c r="D5" s="30"/>
      <c r="E5" s="30"/>
      <c r="F5" s="30"/>
      <c r="G5" s="30"/>
      <c r="H5" s="31"/>
      <c r="I5" s="31"/>
      <c r="J5" s="32"/>
      <c r="K5" s="32"/>
      <c r="L5" s="31"/>
      <c r="M5" s="127"/>
      <c r="N5" s="31"/>
      <c r="O5" s="31"/>
      <c r="P5" s="31"/>
      <c r="Q5" s="31"/>
      <c r="R5" s="41"/>
      <c r="S5" s="31"/>
      <c r="T5" s="31"/>
      <c r="U5" s="184"/>
      <c r="V5" s="31"/>
      <c r="W5" s="33"/>
      <c r="X5" s="34"/>
      <c r="Y5" s="35"/>
    </row>
    <row r="6" spans="2:25" ht="12.75">
      <c r="B6" s="75" t="s">
        <v>128</v>
      </c>
      <c r="C6" s="75" t="s">
        <v>57</v>
      </c>
      <c r="D6" s="76" t="s">
        <v>41</v>
      </c>
      <c r="E6" s="77">
        <v>1</v>
      </c>
      <c r="F6" s="78">
        <f>$F$4</f>
        <v>3799</v>
      </c>
      <c r="G6" s="78">
        <f>$F6*0.5/100</f>
        <v>18.995</v>
      </c>
      <c r="H6" s="79"/>
      <c r="I6" s="70"/>
      <c r="J6" s="91">
        <f>E6*(F6+G6+H6+I6)</f>
        <v>3817.995</v>
      </c>
      <c r="K6" s="112">
        <v>3800</v>
      </c>
      <c r="L6" s="78" t="s">
        <v>125</v>
      </c>
      <c r="M6" s="130">
        <f aca="true" t="shared" si="0" ref="M6:M18">-J6+K6</f>
        <v>-17.99499999999989</v>
      </c>
      <c r="N6" s="70">
        <v>1455</v>
      </c>
      <c r="O6" s="70"/>
      <c r="P6" s="133">
        <f>-K6+N6</f>
        <v>-2345</v>
      </c>
      <c r="Q6" s="70" t="s">
        <v>40</v>
      </c>
      <c r="R6" s="72" t="s">
        <v>144</v>
      </c>
      <c r="S6" s="70"/>
      <c r="T6" s="168">
        <v>1394</v>
      </c>
      <c r="U6" s="172">
        <f>-J6+T6</f>
        <v>-2423.995</v>
      </c>
      <c r="V6" s="70" t="s">
        <v>33</v>
      </c>
      <c r="W6" s="73"/>
      <c r="X6" s="74" t="s">
        <v>132</v>
      </c>
      <c r="Y6" s="1"/>
    </row>
    <row r="7" spans="2:25" ht="12.75">
      <c r="B7" s="75" t="s">
        <v>129</v>
      </c>
      <c r="C7" s="69"/>
      <c r="D7" s="76" t="s">
        <v>41</v>
      </c>
      <c r="E7" s="80">
        <v>1</v>
      </c>
      <c r="F7" s="69"/>
      <c r="G7" s="69"/>
      <c r="H7" s="81">
        <f>$H$4</f>
        <v>315</v>
      </c>
      <c r="I7" s="78">
        <f>$H7*1/100</f>
        <v>3.15</v>
      </c>
      <c r="J7" s="91">
        <f>E7*(F7+G7+H7+I7)</f>
        <v>318.15</v>
      </c>
      <c r="K7" s="112">
        <v>310</v>
      </c>
      <c r="L7" s="78" t="s">
        <v>125</v>
      </c>
      <c r="M7" s="130">
        <f t="shared" si="0"/>
        <v>-8.149999999999977</v>
      </c>
      <c r="N7" s="153">
        <v>118</v>
      </c>
      <c r="O7" s="70"/>
      <c r="P7" s="133">
        <f>-K7+N7</f>
        <v>-192</v>
      </c>
      <c r="Q7" s="70"/>
      <c r="R7" s="72" t="s">
        <v>27</v>
      </c>
      <c r="S7" s="70"/>
      <c r="T7" s="70"/>
      <c r="U7" s="172">
        <v>-318</v>
      </c>
      <c r="V7" s="70"/>
      <c r="W7" s="73"/>
      <c r="X7" s="74"/>
      <c r="Y7" s="1"/>
    </row>
    <row r="8" spans="2:25" ht="12.75">
      <c r="B8" s="85" t="s">
        <v>56</v>
      </c>
      <c r="C8" s="69"/>
      <c r="D8" s="76" t="s">
        <v>41</v>
      </c>
      <c r="E8" s="75">
        <v>1</v>
      </c>
      <c r="F8" s="78">
        <f>$F$4</f>
        <v>3799</v>
      </c>
      <c r="G8" s="78">
        <f>$F8*0.5/100</f>
        <v>18.995</v>
      </c>
      <c r="H8" s="81">
        <f>$H$4</f>
        <v>315</v>
      </c>
      <c r="I8" s="78">
        <f>$H8*1/100</f>
        <v>3.15</v>
      </c>
      <c r="J8" s="91">
        <f>E8*(F8+G8+H8+I8)</f>
        <v>4136.1449999999995</v>
      </c>
      <c r="K8" s="112">
        <v>4110</v>
      </c>
      <c r="L8" s="78" t="s">
        <v>125</v>
      </c>
      <c r="M8" s="130">
        <f t="shared" si="0"/>
        <v>-26.144999999999527</v>
      </c>
      <c r="N8" s="70">
        <v>1504</v>
      </c>
      <c r="O8" s="70"/>
      <c r="P8" s="133">
        <f aca="true" t="shared" si="1" ref="P8:P70">-K8+N8</f>
        <v>-2606</v>
      </c>
      <c r="Q8" s="70"/>
      <c r="R8" s="72" t="s">
        <v>144</v>
      </c>
      <c r="S8" s="70"/>
      <c r="T8" s="168">
        <v>1500</v>
      </c>
      <c r="U8" s="172">
        <f>-J8+T8</f>
        <v>-2636.1449999999995</v>
      </c>
      <c r="V8" s="70"/>
      <c r="W8" s="73"/>
      <c r="X8" s="74" t="s">
        <v>131</v>
      </c>
      <c r="Y8" s="1"/>
    </row>
    <row r="9" spans="2:25" s="59" customFormat="1" ht="12.75">
      <c r="B9" s="87"/>
      <c r="C9" s="92"/>
      <c r="D9" s="92"/>
      <c r="E9" s="92"/>
      <c r="F9" s="88"/>
      <c r="G9" s="88"/>
      <c r="H9" s="86"/>
      <c r="I9" s="88"/>
      <c r="J9" s="94"/>
      <c r="K9" s="94"/>
      <c r="L9" s="88"/>
      <c r="M9" s="130"/>
      <c r="N9" s="88"/>
      <c r="O9" s="88"/>
      <c r="P9" s="133">
        <f t="shared" si="1"/>
        <v>0</v>
      </c>
      <c r="Q9" s="88"/>
      <c r="R9" s="95"/>
      <c r="S9" s="88"/>
      <c r="T9" s="88"/>
      <c r="U9" s="173"/>
      <c r="V9" s="88"/>
      <c r="W9" s="97"/>
      <c r="X9" s="98"/>
      <c r="Y9" s="60"/>
    </row>
    <row r="10" spans="2:25" ht="12.75">
      <c r="B10" s="151" t="s">
        <v>20</v>
      </c>
      <c r="C10" s="69"/>
      <c r="D10" s="69" t="s">
        <v>71</v>
      </c>
      <c r="E10" s="69">
        <v>2</v>
      </c>
      <c r="F10" s="192">
        <f>F4-50</f>
        <v>3749</v>
      </c>
      <c r="G10" s="78">
        <f>$F10*0.5/100</f>
        <v>18.745</v>
      </c>
      <c r="H10" s="70"/>
      <c r="I10" s="70"/>
      <c r="J10" s="91">
        <f>E10*(F10+G10+H10+I10)</f>
        <v>7535.49</v>
      </c>
      <c r="K10" s="91">
        <v>7110</v>
      </c>
      <c r="L10" s="81" t="s">
        <v>120</v>
      </c>
      <c r="M10" s="130">
        <f t="shared" si="0"/>
        <v>-425.4899999999998</v>
      </c>
      <c r="N10" s="82"/>
      <c r="O10" s="83"/>
      <c r="P10" s="133">
        <f t="shared" si="1"/>
        <v>-7110</v>
      </c>
      <c r="Q10" s="83"/>
      <c r="R10" s="84"/>
      <c r="S10" s="83"/>
      <c r="T10" s="169">
        <v>0</v>
      </c>
      <c r="U10" s="171">
        <f>-J10+T10</f>
        <v>-7535.49</v>
      </c>
      <c r="V10" s="70"/>
      <c r="W10" s="73"/>
      <c r="X10" s="74"/>
      <c r="Y10" s="1"/>
    </row>
    <row r="11" spans="2:25" ht="12.75">
      <c r="B11" s="75" t="s">
        <v>20</v>
      </c>
      <c r="C11" s="69"/>
      <c r="D11" s="69" t="s">
        <v>70</v>
      </c>
      <c r="E11" s="75">
        <v>1</v>
      </c>
      <c r="F11" s="69"/>
      <c r="G11" s="69"/>
      <c r="H11" s="81">
        <f>$H$4</f>
        <v>315</v>
      </c>
      <c r="I11" s="78">
        <f>$H11*1/100</f>
        <v>3.15</v>
      </c>
      <c r="J11" s="91">
        <f>E11*(F11+G11+H11+I11)</f>
        <v>318.15</v>
      </c>
      <c r="K11" s="71"/>
      <c r="L11" s="79"/>
      <c r="M11" s="130">
        <f t="shared" si="0"/>
        <v>-318.15</v>
      </c>
      <c r="N11" s="82"/>
      <c r="O11" s="83"/>
      <c r="P11" s="133">
        <f t="shared" si="1"/>
        <v>0</v>
      </c>
      <c r="Q11" s="83"/>
      <c r="R11" s="84"/>
      <c r="S11" s="83"/>
      <c r="T11" s="82"/>
      <c r="U11" s="172"/>
      <c r="V11" s="70"/>
      <c r="W11" s="73"/>
      <c r="X11" s="74"/>
      <c r="Y11" s="1"/>
    </row>
    <row r="12" spans="2:25" ht="12.75">
      <c r="B12" s="75" t="s">
        <v>96</v>
      </c>
      <c r="C12" s="85" t="s">
        <v>98</v>
      </c>
      <c r="D12" s="69" t="s">
        <v>50</v>
      </c>
      <c r="E12" s="75">
        <v>1</v>
      </c>
      <c r="F12" s="75">
        <v>50</v>
      </c>
      <c r="G12" s="69"/>
      <c r="H12" s="86"/>
      <c r="I12" s="88"/>
      <c r="J12" s="91">
        <f>E12*(F12+G12+H12+I12)</f>
        <v>50</v>
      </c>
      <c r="K12" s="91">
        <v>50</v>
      </c>
      <c r="L12" s="81" t="s">
        <v>124</v>
      </c>
      <c r="M12" s="130">
        <f t="shared" si="0"/>
        <v>0</v>
      </c>
      <c r="N12" s="85">
        <v>50</v>
      </c>
      <c r="O12" s="137" t="s">
        <v>156</v>
      </c>
      <c r="P12" s="132">
        <f t="shared" si="1"/>
        <v>0</v>
      </c>
      <c r="Q12" s="83" t="s">
        <v>40</v>
      </c>
      <c r="R12" s="84"/>
      <c r="S12" s="83"/>
      <c r="T12" s="82"/>
      <c r="U12" s="172"/>
      <c r="V12" s="70"/>
      <c r="W12" s="73"/>
      <c r="X12" s="74"/>
      <c r="Y12" s="1"/>
    </row>
    <row r="13" spans="2:25" ht="12.75">
      <c r="B13" s="75" t="s">
        <v>97</v>
      </c>
      <c r="C13" s="85" t="s">
        <v>98</v>
      </c>
      <c r="D13" s="69" t="s">
        <v>50</v>
      </c>
      <c r="E13" s="75">
        <v>1</v>
      </c>
      <c r="F13" s="75">
        <v>50</v>
      </c>
      <c r="G13" s="69"/>
      <c r="H13" s="86"/>
      <c r="I13" s="88"/>
      <c r="J13" s="91">
        <f>E13*(F13+G13+H13+I13)</f>
        <v>50</v>
      </c>
      <c r="K13" s="91">
        <v>50</v>
      </c>
      <c r="L13" s="81" t="s">
        <v>124</v>
      </c>
      <c r="M13" s="130">
        <f t="shared" si="0"/>
        <v>0</v>
      </c>
      <c r="N13" s="85">
        <v>50</v>
      </c>
      <c r="O13" s="137" t="s">
        <v>155</v>
      </c>
      <c r="P13" s="132">
        <f t="shared" si="1"/>
        <v>0</v>
      </c>
      <c r="Q13" s="83" t="s">
        <v>40</v>
      </c>
      <c r="R13" s="84"/>
      <c r="S13" s="83"/>
      <c r="T13" s="82"/>
      <c r="U13" s="172"/>
      <c r="V13" s="70"/>
      <c r="W13" s="73"/>
      <c r="X13" s="74"/>
      <c r="Y13" s="1"/>
    </row>
    <row r="14" spans="2:25" ht="12.75">
      <c r="B14" s="69"/>
      <c r="C14" s="69"/>
      <c r="D14" s="69"/>
      <c r="E14" s="69"/>
      <c r="F14" s="69"/>
      <c r="G14" s="69"/>
      <c r="H14" s="70"/>
      <c r="I14" s="70"/>
      <c r="J14" s="71"/>
      <c r="K14" s="71"/>
      <c r="L14" s="82"/>
      <c r="M14" s="130">
        <f t="shared" si="0"/>
        <v>0</v>
      </c>
      <c r="N14" s="82"/>
      <c r="O14" s="83"/>
      <c r="P14" s="133">
        <f t="shared" si="1"/>
        <v>0</v>
      </c>
      <c r="Q14" s="83"/>
      <c r="R14" s="84"/>
      <c r="S14" s="83"/>
      <c r="T14" s="82"/>
      <c r="U14" s="172"/>
      <c r="V14" s="70"/>
      <c r="W14" s="73"/>
      <c r="X14" s="74"/>
      <c r="Y14" s="1"/>
    </row>
    <row r="15" spans="2:25" ht="12.75">
      <c r="B15" s="85" t="s">
        <v>74</v>
      </c>
      <c r="C15" s="85" t="s">
        <v>69</v>
      </c>
      <c r="D15" s="85" t="s">
        <v>72</v>
      </c>
      <c r="E15" s="85">
        <v>61</v>
      </c>
      <c r="F15" s="78">
        <f>$F$4</f>
        <v>3799</v>
      </c>
      <c r="G15" s="78">
        <f>$F15*0.5/100</f>
        <v>18.995</v>
      </c>
      <c r="H15" s="70"/>
      <c r="I15" s="70"/>
      <c r="J15" s="91">
        <f>E15*(F15+G15+H15+I15)</f>
        <v>232897.695</v>
      </c>
      <c r="K15" s="91">
        <v>208020</v>
      </c>
      <c r="L15" s="91" t="s">
        <v>120</v>
      </c>
      <c r="M15" s="130">
        <f>-J15+K15-J16+K16</f>
        <v>-25513.995000000006</v>
      </c>
      <c r="N15" s="71" t="s">
        <v>159</v>
      </c>
      <c r="O15" s="70" t="s">
        <v>158</v>
      </c>
      <c r="P15" s="133" t="e">
        <f t="shared" si="1"/>
        <v>#VALUE!</v>
      </c>
      <c r="Q15" s="70"/>
      <c r="R15" s="72"/>
      <c r="S15" s="152">
        <v>38687</v>
      </c>
      <c r="T15" s="170">
        <v>0</v>
      </c>
      <c r="U15" s="172">
        <f>-J15+T15</f>
        <v>-232897.695</v>
      </c>
      <c r="V15" s="70"/>
      <c r="W15" s="73"/>
      <c r="X15" s="74"/>
      <c r="Y15" s="1"/>
    </row>
    <row r="16" spans="2:25" ht="12.75">
      <c r="B16" s="85" t="s">
        <v>74</v>
      </c>
      <c r="C16" s="85" t="s">
        <v>69</v>
      </c>
      <c r="D16" s="85" t="s">
        <v>70</v>
      </c>
      <c r="E16" s="85">
        <v>2</v>
      </c>
      <c r="F16" s="82"/>
      <c r="G16" s="82"/>
      <c r="H16" s="81">
        <f>$H$4</f>
        <v>315</v>
      </c>
      <c r="I16" s="78">
        <f>$H16*1/100</f>
        <v>3.15</v>
      </c>
      <c r="J16" s="91">
        <f>E16*(F16+G16+H16+I16)</f>
        <v>636.3</v>
      </c>
      <c r="K16" s="91">
        <v>0</v>
      </c>
      <c r="L16" s="71"/>
      <c r="M16" s="130"/>
      <c r="N16" s="71"/>
      <c r="O16" s="70"/>
      <c r="P16" s="133">
        <f t="shared" si="1"/>
        <v>0</v>
      </c>
      <c r="Q16" s="70"/>
      <c r="R16" s="72"/>
      <c r="S16" s="152">
        <v>38687</v>
      </c>
      <c r="T16" s="70"/>
      <c r="U16" s="172"/>
      <c r="V16" s="70"/>
      <c r="W16" s="73"/>
      <c r="X16" s="74"/>
      <c r="Y16" s="1"/>
    </row>
    <row r="17" spans="2:25" ht="12.75">
      <c r="B17" s="82" t="s">
        <v>75</v>
      </c>
      <c r="C17" s="82" t="s">
        <v>7</v>
      </c>
      <c r="D17" s="82" t="s">
        <v>72</v>
      </c>
      <c r="E17" s="82"/>
      <c r="F17" s="82"/>
      <c r="G17" s="82"/>
      <c r="H17" s="70"/>
      <c r="I17" s="70"/>
      <c r="J17" s="112">
        <v>19776</v>
      </c>
      <c r="K17" s="113">
        <v>16650</v>
      </c>
      <c r="L17" s="71" t="s">
        <v>120</v>
      </c>
      <c r="M17" s="130">
        <f t="shared" si="0"/>
        <v>-3126</v>
      </c>
      <c r="N17" s="113">
        <v>16650</v>
      </c>
      <c r="O17" s="70"/>
      <c r="P17" s="133">
        <f t="shared" si="1"/>
        <v>0</v>
      </c>
      <c r="Q17" s="70"/>
      <c r="R17" s="72"/>
      <c r="S17" s="70"/>
      <c r="U17" s="174"/>
      <c r="V17" s="70"/>
      <c r="W17" s="73"/>
      <c r="X17" s="74"/>
      <c r="Y17" s="1"/>
    </row>
    <row r="18" spans="2:25" ht="12.75">
      <c r="B18" s="82"/>
      <c r="C18" s="82"/>
      <c r="D18" s="82"/>
      <c r="E18" s="82"/>
      <c r="F18" s="82"/>
      <c r="G18" s="82"/>
      <c r="H18" s="79"/>
      <c r="I18" s="70"/>
      <c r="J18" s="71"/>
      <c r="K18" s="112" t="s">
        <v>122</v>
      </c>
      <c r="L18" s="70"/>
      <c r="M18" s="130"/>
      <c r="N18" s="70"/>
      <c r="O18" s="70"/>
      <c r="P18" s="133"/>
      <c r="Q18" s="70"/>
      <c r="R18" s="72"/>
      <c r="S18" s="70"/>
      <c r="T18" s="88"/>
      <c r="U18" s="172"/>
      <c r="V18" s="70"/>
      <c r="W18" s="73"/>
      <c r="X18" s="74"/>
      <c r="Y18" s="1"/>
    </row>
    <row r="19" spans="2:25" ht="12.75">
      <c r="B19" s="75" t="s">
        <v>23</v>
      </c>
      <c r="C19" s="75" t="s">
        <v>79</v>
      </c>
      <c r="D19" s="87" t="s">
        <v>78</v>
      </c>
      <c r="E19" s="75">
        <v>183</v>
      </c>
      <c r="F19" s="78">
        <f>$F$4</f>
        <v>3799</v>
      </c>
      <c r="G19" s="78">
        <f>$F19*0.5/100</f>
        <v>18.995</v>
      </c>
      <c r="H19" s="79"/>
      <c r="I19" s="70"/>
      <c r="J19" s="91">
        <f>E19*(F19+G19+H19+I19)</f>
        <v>698693.085</v>
      </c>
      <c r="K19" s="112">
        <v>698300</v>
      </c>
      <c r="L19" s="78" t="s">
        <v>123</v>
      </c>
      <c r="M19" s="130">
        <f>-J19+K19-J20+K20</f>
        <v>-3256.4349999999627</v>
      </c>
      <c r="N19" s="70">
        <f>9170</f>
        <v>9170</v>
      </c>
      <c r="P19" s="133">
        <f t="shared" si="1"/>
        <v>-689130</v>
      </c>
      <c r="Q19" s="70" t="s">
        <v>40</v>
      </c>
      <c r="R19" s="72" t="s">
        <v>144</v>
      </c>
      <c r="S19" s="153" t="s">
        <v>50</v>
      </c>
      <c r="T19" s="168">
        <v>1830</v>
      </c>
      <c r="U19" s="172">
        <f>-J19+T19</f>
        <v>-696863.085</v>
      </c>
      <c r="V19" s="70"/>
      <c r="W19" s="73"/>
      <c r="X19" s="74"/>
      <c r="Y19" s="1"/>
    </row>
    <row r="20" spans="2:25" ht="12.75">
      <c r="B20" s="75" t="s">
        <v>23</v>
      </c>
      <c r="C20" s="75" t="s">
        <v>79</v>
      </c>
      <c r="D20" s="87" t="s">
        <v>78</v>
      </c>
      <c r="E20" s="75">
        <v>9</v>
      </c>
      <c r="F20" s="88"/>
      <c r="G20" s="88"/>
      <c r="H20" s="81">
        <f>$H$4</f>
        <v>315</v>
      </c>
      <c r="I20" s="78">
        <f>$H20*1/100</f>
        <v>3.15</v>
      </c>
      <c r="J20" s="91">
        <f>E20*(F20+G20+H20+I20)</f>
        <v>2863.35</v>
      </c>
      <c r="K20" s="94"/>
      <c r="L20" s="88"/>
      <c r="M20" s="130"/>
      <c r="N20" s="70"/>
      <c r="O20" s="70"/>
      <c r="P20" s="133">
        <f t="shared" si="1"/>
        <v>0</v>
      </c>
      <c r="Q20" s="70"/>
      <c r="R20" s="72"/>
      <c r="S20" s="153" t="s">
        <v>50</v>
      </c>
      <c r="T20" s="70"/>
      <c r="U20" s="172"/>
      <c r="V20" s="70"/>
      <c r="W20" s="73"/>
      <c r="X20" s="74"/>
      <c r="Y20" s="1"/>
    </row>
    <row r="21" spans="2:25" ht="12.75">
      <c r="B21" s="75" t="s">
        <v>77</v>
      </c>
      <c r="C21" s="75" t="s">
        <v>79</v>
      </c>
      <c r="D21" s="87" t="s">
        <v>78</v>
      </c>
      <c r="E21" s="75">
        <v>3</v>
      </c>
      <c r="F21" s="82"/>
      <c r="G21" s="69"/>
      <c r="H21" s="81">
        <f>$H$4</f>
        <v>315</v>
      </c>
      <c r="I21" s="78">
        <f>$H21*1/100</f>
        <v>3.15</v>
      </c>
      <c r="J21" s="91">
        <f>E21*(F21+G21+H21+I21)</f>
        <v>954.4499999999999</v>
      </c>
      <c r="K21" s="114">
        <v>930</v>
      </c>
      <c r="L21" s="78" t="s">
        <v>123</v>
      </c>
      <c r="M21" s="130">
        <f>-J21+K21</f>
        <v>-24.449999999999932</v>
      </c>
      <c r="N21" s="70"/>
      <c r="O21" s="70"/>
      <c r="P21" s="133">
        <f t="shared" si="1"/>
        <v>-930</v>
      </c>
      <c r="Q21" s="70"/>
      <c r="R21" s="72"/>
      <c r="S21" s="153" t="s">
        <v>50</v>
      </c>
      <c r="T21" s="70"/>
      <c r="U21" s="172"/>
      <c r="V21" s="70"/>
      <c r="W21" s="73"/>
      <c r="X21" s="74"/>
      <c r="Y21" s="1"/>
    </row>
    <row r="22" spans="2:25" ht="12.75">
      <c r="B22" s="75" t="s">
        <v>24</v>
      </c>
      <c r="C22" s="75" t="s">
        <v>79</v>
      </c>
      <c r="D22" s="87" t="s">
        <v>78</v>
      </c>
      <c r="E22" s="75">
        <v>6</v>
      </c>
      <c r="F22" s="78">
        <f>$F$4</f>
        <v>3799</v>
      </c>
      <c r="G22" s="78">
        <f>$F22*0.5/100</f>
        <v>18.995</v>
      </c>
      <c r="H22" s="79"/>
      <c r="I22" s="70"/>
      <c r="J22" s="91">
        <f>E22*(F22+G22+H22+I22)</f>
        <v>22907.97</v>
      </c>
      <c r="K22" s="114">
        <v>22800</v>
      </c>
      <c r="L22" s="78" t="s">
        <v>123</v>
      </c>
      <c r="M22" s="130">
        <f>-J22+K22</f>
        <v>-107.97000000000116</v>
      </c>
      <c r="N22" s="70">
        <f>305</f>
        <v>305</v>
      </c>
      <c r="O22" s="70"/>
      <c r="P22" s="133">
        <f t="shared" si="1"/>
        <v>-22495</v>
      </c>
      <c r="Q22" s="70" t="s">
        <v>40</v>
      </c>
      <c r="R22" s="72" t="s">
        <v>144</v>
      </c>
      <c r="S22" s="153" t="s">
        <v>50</v>
      </c>
      <c r="T22" s="168">
        <v>60</v>
      </c>
      <c r="U22" s="172">
        <f>-J22+T22</f>
        <v>-22847.97</v>
      </c>
      <c r="V22" s="70"/>
      <c r="W22" s="73"/>
      <c r="X22" s="74"/>
      <c r="Y22" s="1"/>
    </row>
    <row r="23" spans="2:25" s="59" customFormat="1" ht="12.75">
      <c r="B23" s="92"/>
      <c r="C23" s="92"/>
      <c r="D23" s="87"/>
      <c r="E23" s="92"/>
      <c r="F23" s="88"/>
      <c r="G23" s="88"/>
      <c r="H23" s="86"/>
      <c r="I23" s="88"/>
      <c r="J23" s="94"/>
      <c r="K23" s="86"/>
      <c r="L23" s="88"/>
      <c r="M23" s="130"/>
      <c r="N23" s="88"/>
      <c r="O23" s="88"/>
      <c r="P23" s="133">
        <f t="shared" si="1"/>
        <v>0</v>
      </c>
      <c r="Q23" s="88"/>
      <c r="R23" s="95"/>
      <c r="S23" s="88"/>
      <c r="T23" s="88"/>
      <c r="U23" s="173"/>
      <c r="V23" s="88"/>
      <c r="W23" s="97"/>
      <c r="X23" s="98"/>
      <c r="Y23" s="60"/>
    </row>
    <row r="24" spans="2:25" ht="12.75">
      <c r="B24" s="85" t="s">
        <v>134</v>
      </c>
      <c r="C24" s="85" t="s">
        <v>73</v>
      </c>
      <c r="D24" s="87"/>
      <c r="E24" s="85">
        <v>1</v>
      </c>
      <c r="F24" s="78">
        <f>$F$4</f>
        <v>3799</v>
      </c>
      <c r="G24" s="78">
        <f>$F24*0.5/100</f>
        <v>18.995</v>
      </c>
      <c r="H24" s="81">
        <f>$H$4</f>
        <v>315</v>
      </c>
      <c r="I24" s="78">
        <f>$H24*1/100</f>
        <v>3.15</v>
      </c>
      <c r="J24" s="91">
        <f>E24*(F24+G24+H24+I24)</f>
        <v>4136.1449999999995</v>
      </c>
      <c r="K24" s="71" t="s">
        <v>153</v>
      </c>
      <c r="L24" s="70" t="s">
        <v>135</v>
      </c>
      <c r="M24" s="130" t="e">
        <f>-J24+K24</f>
        <v>#VALUE!</v>
      </c>
      <c r="N24" s="70"/>
      <c r="O24" s="70"/>
      <c r="P24" s="133"/>
      <c r="Q24" s="70"/>
      <c r="R24" s="72"/>
      <c r="S24" s="152"/>
      <c r="T24" s="70"/>
      <c r="U24" s="172"/>
      <c r="V24" s="70"/>
      <c r="W24" s="73"/>
      <c r="X24" s="74"/>
      <c r="Y24" s="1"/>
    </row>
    <row r="25" spans="2:25" ht="12.75">
      <c r="B25" s="75" t="s">
        <v>87</v>
      </c>
      <c r="C25" s="75" t="s">
        <v>86</v>
      </c>
      <c r="D25" s="85" t="s">
        <v>91</v>
      </c>
      <c r="E25" s="89">
        <v>1</v>
      </c>
      <c r="F25" s="78">
        <f>$F$4</f>
        <v>3799</v>
      </c>
      <c r="G25" s="78">
        <f>$F25*0.5/100</f>
        <v>18.995</v>
      </c>
      <c r="H25" s="81">
        <f>$H$4</f>
        <v>315</v>
      </c>
      <c r="I25" s="78">
        <f>$H25*1/100</f>
        <v>3.15</v>
      </c>
      <c r="J25" s="91">
        <f>E25*(F25+G25+H25+I25)</f>
        <v>4136.1449999999995</v>
      </c>
      <c r="K25" s="91">
        <v>4110</v>
      </c>
      <c r="L25" s="78" t="s">
        <v>123</v>
      </c>
      <c r="M25" s="130">
        <f>-J25+K25</f>
        <v>-26.144999999999527</v>
      </c>
      <c r="N25" s="70">
        <v>90</v>
      </c>
      <c r="O25" s="70"/>
      <c r="P25" s="133">
        <f t="shared" si="1"/>
        <v>-4020</v>
      </c>
      <c r="Q25" s="70"/>
      <c r="R25" s="72"/>
      <c r="S25" s="152">
        <v>38687</v>
      </c>
      <c r="T25" s="168">
        <v>50</v>
      </c>
      <c r="U25" s="172">
        <f>-J25+T25</f>
        <v>-4086.1449999999995</v>
      </c>
      <c r="V25" s="70"/>
      <c r="W25" s="73"/>
      <c r="X25" s="74"/>
      <c r="Y25" s="1"/>
    </row>
    <row r="26" spans="2:25" ht="12.75">
      <c r="B26" s="75" t="s">
        <v>88</v>
      </c>
      <c r="C26" s="75" t="s">
        <v>90</v>
      </c>
      <c r="D26" s="85" t="s">
        <v>89</v>
      </c>
      <c r="E26" s="89">
        <v>1</v>
      </c>
      <c r="F26" s="78">
        <f>$F$4</f>
        <v>3799</v>
      </c>
      <c r="G26" s="78">
        <f>$F26*0.5/100</f>
        <v>18.995</v>
      </c>
      <c r="H26" s="86"/>
      <c r="I26" s="88"/>
      <c r="J26" s="91">
        <f>E26*(F26+G26+H26+I26)</f>
        <v>3817.995</v>
      </c>
      <c r="K26" s="91">
        <v>3800</v>
      </c>
      <c r="L26" s="78" t="s">
        <v>123</v>
      </c>
      <c r="M26" s="130">
        <f>-J26+K26</f>
        <v>-17.99499999999989</v>
      </c>
      <c r="N26" s="193" t="s">
        <v>174</v>
      </c>
      <c r="O26" s="70"/>
      <c r="P26" s="133" t="e">
        <f t="shared" si="1"/>
        <v>#VALUE!</v>
      </c>
      <c r="Q26" s="70"/>
      <c r="R26" s="72"/>
      <c r="S26" s="152">
        <v>38657</v>
      </c>
      <c r="T26" s="168">
        <v>10</v>
      </c>
      <c r="U26" s="172">
        <f>-J26+T26</f>
        <v>-3807.995</v>
      </c>
      <c r="V26" s="90">
        <v>0.03</v>
      </c>
      <c r="W26" s="73"/>
      <c r="X26" s="138"/>
      <c r="Y26" s="1"/>
    </row>
    <row r="27" spans="1:25" s="36" customFormat="1" ht="12.75">
      <c r="A27" s="155" t="s">
        <v>25</v>
      </c>
      <c r="C27" s="30"/>
      <c r="D27" s="30"/>
      <c r="E27" s="30"/>
      <c r="G27" s="30"/>
      <c r="I27" s="31"/>
      <c r="J27" s="31"/>
      <c r="K27" s="32"/>
      <c r="L27" s="31"/>
      <c r="M27" s="134"/>
      <c r="N27" s="31"/>
      <c r="O27" s="31"/>
      <c r="P27" s="134"/>
      <c r="Q27" s="31"/>
      <c r="R27" s="41"/>
      <c r="S27" s="31"/>
      <c r="T27" s="31"/>
      <c r="U27" s="175"/>
      <c r="V27" s="31"/>
      <c r="W27" s="33"/>
      <c r="X27" s="139"/>
      <c r="Y27" s="35"/>
    </row>
    <row r="28" spans="2:25" s="59" customFormat="1" ht="12.75">
      <c r="B28" s="151" t="s">
        <v>102</v>
      </c>
      <c r="C28" s="75" t="s">
        <v>100</v>
      </c>
      <c r="D28" s="92"/>
      <c r="E28" s="75">
        <v>2</v>
      </c>
      <c r="F28" s="78">
        <f>$F$4</f>
        <v>3799</v>
      </c>
      <c r="G28" s="78">
        <f>$F28*0.5/100</f>
        <v>18.995</v>
      </c>
      <c r="H28" s="86"/>
      <c r="I28" s="88"/>
      <c r="J28" s="91">
        <f>E28*(F28+G28+H28+I28)</f>
        <v>7635.99</v>
      </c>
      <c r="K28" s="112">
        <f>3800*2</f>
        <v>7600</v>
      </c>
      <c r="L28" s="78" t="s">
        <v>123</v>
      </c>
      <c r="M28" s="130">
        <f>-J28+K28</f>
        <v>-35.98999999999978</v>
      </c>
      <c r="N28" s="88"/>
      <c r="O28" s="153" t="s">
        <v>168</v>
      </c>
      <c r="P28" s="133">
        <f t="shared" si="1"/>
        <v>-7600</v>
      </c>
      <c r="Q28" s="88"/>
      <c r="R28" s="95"/>
      <c r="T28" s="169">
        <v>0</v>
      </c>
      <c r="U28" s="173">
        <v>-7636</v>
      </c>
      <c r="V28" s="88"/>
      <c r="W28" s="97"/>
      <c r="X28" s="140"/>
      <c r="Y28" s="60"/>
    </row>
    <row r="29" spans="2:25" ht="12.75">
      <c r="B29" s="151" t="s">
        <v>101</v>
      </c>
      <c r="C29" s="75" t="s">
        <v>100</v>
      </c>
      <c r="D29" s="69"/>
      <c r="E29" s="75">
        <v>4</v>
      </c>
      <c r="F29" s="78">
        <f>$F$4</f>
        <v>3799</v>
      </c>
      <c r="G29" s="78">
        <f>$F29*0.5/100</f>
        <v>18.995</v>
      </c>
      <c r="H29" s="79"/>
      <c r="I29" s="70"/>
      <c r="J29" s="91">
        <f>E29*(F29+G29+H29+I29)</f>
        <v>15271.98</v>
      </c>
      <c r="K29" s="112">
        <f>3800*4</f>
        <v>15200</v>
      </c>
      <c r="L29" s="78" t="s">
        <v>123</v>
      </c>
      <c r="M29" s="130">
        <f>-J29+K29</f>
        <v>-71.97999999999956</v>
      </c>
      <c r="N29" s="70"/>
      <c r="O29" s="153" t="s">
        <v>169</v>
      </c>
      <c r="P29" s="133">
        <f t="shared" si="1"/>
        <v>-15200</v>
      </c>
      <c r="Q29" s="70"/>
      <c r="R29" s="72"/>
      <c r="T29" s="169">
        <v>4</v>
      </c>
      <c r="U29" s="172">
        <v>-15272</v>
      </c>
      <c r="V29" s="70"/>
      <c r="W29" s="73"/>
      <c r="X29" s="141"/>
      <c r="Y29" s="1"/>
    </row>
    <row r="30" spans="1:25" s="36" customFormat="1" ht="12.75">
      <c r="A30" s="66" t="s">
        <v>82</v>
      </c>
      <c r="C30" s="30"/>
      <c r="D30" s="30"/>
      <c r="E30" s="30"/>
      <c r="F30" s="30"/>
      <c r="G30" s="30"/>
      <c r="H30" s="31"/>
      <c r="I30" s="31"/>
      <c r="J30" s="32"/>
      <c r="K30" s="32"/>
      <c r="L30" s="31"/>
      <c r="M30" s="134"/>
      <c r="N30" s="31"/>
      <c r="O30" s="31"/>
      <c r="P30" s="134"/>
      <c r="Q30" s="31"/>
      <c r="R30" s="41"/>
      <c r="S30" s="31"/>
      <c r="T30" s="31"/>
      <c r="U30" s="175"/>
      <c r="V30" s="31"/>
      <c r="W30" s="33"/>
      <c r="X30" s="139"/>
      <c r="Y30" s="35"/>
    </row>
    <row r="31" spans="2:25" ht="12.75">
      <c r="B31" s="85" t="s">
        <v>84</v>
      </c>
      <c r="C31" s="85" t="s">
        <v>83</v>
      </c>
      <c r="D31" s="85" t="s">
        <v>81</v>
      </c>
      <c r="E31" s="75">
        <v>1</v>
      </c>
      <c r="F31" s="78">
        <v>50</v>
      </c>
      <c r="G31" s="88"/>
      <c r="H31" s="86"/>
      <c r="I31" s="88"/>
      <c r="J31" s="91">
        <f>E31*(F31+G31+H31+I31)</f>
        <v>50</v>
      </c>
      <c r="K31" s="91">
        <v>50</v>
      </c>
      <c r="L31" s="78" t="s">
        <v>123</v>
      </c>
      <c r="M31" s="130">
        <f>-J31+K31</f>
        <v>0</v>
      </c>
      <c r="N31" s="70">
        <v>10</v>
      </c>
      <c r="O31" s="70">
        <v>38626</v>
      </c>
      <c r="P31" s="133">
        <f t="shared" si="1"/>
        <v>-40</v>
      </c>
      <c r="Q31" s="70" t="s">
        <v>40</v>
      </c>
      <c r="R31" s="72"/>
      <c r="S31" s="153" t="s">
        <v>50</v>
      </c>
      <c r="T31" s="70"/>
      <c r="U31" s="172"/>
      <c r="V31" s="70"/>
      <c r="W31" s="73"/>
      <c r="X31" s="141"/>
      <c r="Y31" s="1"/>
    </row>
    <row r="32" spans="2:25" ht="12.75">
      <c r="B32" s="154" t="s">
        <v>160</v>
      </c>
      <c r="C32" s="85" t="s">
        <v>85</v>
      </c>
      <c r="D32" s="85"/>
      <c r="E32" s="75">
        <v>1</v>
      </c>
      <c r="F32" s="78">
        <v>500</v>
      </c>
      <c r="G32" s="88"/>
      <c r="H32" s="86"/>
      <c r="I32" s="88"/>
      <c r="J32" s="91">
        <f>E32*(F32+G32+H32+I32)</f>
        <v>500</v>
      </c>
      <c r="K32" s="91">
        <v>0</v>
      </c>
      <c r="L32" s="78" t="s">
        <v>123</v>
      </c>
      <c r="M32" s="130">
        <f>-J32+K32</f>
        <v>-500</v>
      </c>
      <c r="N32" s="70"/>
      <c r="O32" s="70"/>
      <c r="P32" s="133">
        <f t="shared" si="1"/>
        <v>0</v>
      </c>
      <c r="Q32" s="70"/>
      <c r="R32" s="72"/>
      <c r="S32" s="70"/>
      <c r="T32" s="168">
        <v>5</v>
      </c>
      <c r="U32" s="172">
        <v>-495</v>
      </c>
      <c r="V32" s="70"/>
      <c r="W32" s="73"/>
      <c r="X32" s="141"/>
      <c r="Y32" s="1"/>
    </row>
    <row r="33" spans="1:25" s="36" customFormat="1" ht="12.75">
      <c r="A33" s="62" t="s">
        <v>17</v>
      </c>
      <c r="B33" s="63"/>
      <c r="C33" s="30"/>
      <c r="D33" s="30"/>
      <c r="E33" s="30"/>
      <c r="F33" s="64"/>
      <c r="G33" s="64"/>
      <c r="H33" s="65"/>
      <c r="I33" s="64"/>
      <c r="J33" s="122"/>
      <c r="K33" s="32"/>
      <c r="L33" s="31"/>
      <c r="M33" s="134"/>
      <c r="N33" s="31"/>
      <c r="O33" s="31"/>
      <c r="P33" s="134"/>
      <c r="Q33" s="31"/>
      <c r="R33" s="41"/>
      <c r="S33" s="31"/>
      <c r="T33" s="31"/>
      <c r="U33" s="175"/>
      <c r="V33" s="31"/>
      <c r="W33" s="33"/>
      <c r="X33" s="139"/>
      <c r="Y33" s="35"/>
    </row>
    <row r="34" spans="2:25" ht="12.75">
      <c r="B34" s="75" t="s">
        <v>58</v>
      </c>
      <c r="C34" s="75" t="s">
        <v>26</v>
      </c>
      <c r="D34" s="75" t="s">
        <v>59</v>
      </c>
      <c r="E34" s="75">
        <v>1</v>
      </c>
      <c r="F34" s="78">
        <f aca="true" t="shared" si="2" ref="F34:F40">$F$4</f>
        <v>3799</v>
      </c>
      <c r="G34" s="78">
        <f aca="true" t="shared" si="3" ref="G34:G40">$F34*0.5/100</f>
        <v>18.995</v>
      </c>
      <c r="H34" s="81">
        <f aca="true" t="shared" si="4" ref="H34:H40">$H$4</f>
        <v>315</v>
      </c>
      <c r="I34" s="78">
        <f aca="true" t="shared" si="5" ref="I34:I40">$H34*1/100</f>
        <v>3.15</v>
      </c>
      <c r="J34" s="91">
        <f aca="true" t="shared" si="6" ref="J34:J39">E34*(F34+G34+H34+I34)</f>
        <v>4136.1449999999995</v>
      </c>
      <c r="K34" s="112">
        <v>3850</v>
      </c>
      <c r="L34" s="78" t="s">
        <v>125</v>
      </c>
      <c r="M34" s="130">
        <f aca="true" t="shared" si="7" ref="M34:M40">-J34+K34</f>
        <v>-286.1449999999995</v>
      </c>
      <c r="N34" s="70"/>
      <c r="O34" s="70"/>
      <c r="P34" s="133">
        <f t="shared" si="1"/>
        <v>-3850</v>
      </c>
      <c r="Q34" s="70"/>
      <c r="R34" s="72"/>
      <c r="S34" s="70" t="s">
        <v>149</v>
      </c>
      <c r="T34" s="169">
        <v>0</v>
      </c>
      <c r="U34" s="172">
        <f aca="true" t="shared" si="8" ref="U34:U40">-J34+T34</f>
        <v>-4136.1449999999995</v>
      </c>
      <c r="V34" s="70"/>
      <c r="W34" s="73"/>
      <c r="X34" s="141"/>
      <c r="Y34" s="1"/>
    </row>
    <row r="35" spans="2:25" ht="12.75">
      <c r="B35" s="75" t="s">
        <v>60</v>
      </c>
      <c r="C35" s="75" t="s">
        <v>7</v>
      </c>
      <c r="D35" s="76" t="s">
        <v>42</v>
      </c>
      <c r="E35" s="77">
        <v>2</v>
      </c>
      <c r="F35" s="78">
        <f t="shared" si="2"/>
        <v>3799</v>
      </c>
      <c r="G35" s="78">
        <f t="shared" si="3"/>
        <v>18.995</v>
      </c>
      <c r="H35" s="81">
        <f t="shared" si="4"/>
        <v>315</v>
      </c>
      <c r="I35" s="78">
        <f t="shared" si="5"/>
        <v>3.15</v>
      </c>
      <c r="J35" s="91">
        <f t="shared" si="6"/>
        <v>8272.289999999999</v>
      </c>
      <c r="K35" s="91">
        <v>8220</v>
      </c>
      <c r="L35" s="78" t="s">
        <v>120</v>
      </c>
      <c r="M35" s="130">
        <f t="shared" si="7"/>
        <v>-52.289999999999054</v>
      </c>
      <c r="N35" s="70" t="s">
        <v>130</v>
      </c>
      <c r="O35" s="70"/>
      <c r="P35" s="133" t="e">
        <f t="shared" si="1"/>
        <v>#VALUE!</v>
      </c>
      <c r="Q35" s="70" t="s">
        <v>144</v>
      </c>
      <c r="R35" s="72" t="s">
        <v>144</v>
      </c>
      <c r="S35" s="70"/>
      <c r="T35" s="169">
        <v>0</v>
      </c>
      <c r="U35" s="172">
        <f t="shared" si="8"/>
        <v>-8272.289999999999</v>
      </c>
      <c r="V35" s="106">
        <v>2</v>
      </c>
      <c r="W35" s="73"/>
      <c r="X35" s="141"/>
      <c r="Y35" s="1"/>
    </row>
    <row r="36" spans="2:25" ht="12.75">
      <c r="B36" s="75" t="s">
        <v>61</v>
      </c>
      <c r="C36" s="75" t="s">
        <v>63</v>
      </c>
      <c r="D36" s="75" t="s">
        <v>150</v>
      </c>
      <c r="E36" s="75">
        <v>2</v>
      </c>
      <c r="F36" s="78">
        <f t="shared" si="2"/>
        <v>3799</v>
      </c>
      <c r="G36" s="78">
        <f t="shared" si="3"/>
        <v>18.995</v>
      </c>
      <c r="H36" s="81">
        <f t="shared" si="4"/>
        <v>315</v>
      </c>
      <c r="I36" s="78">
        <f t="shared" si="5"/>
        <v>3.15</v>
      </c>
      <c r="J36" s="91">
        <f t="shared" si="6"/>
        <v>8272.289999999999</v>
      </c>
      <c r="K36" s="112">
        <v>8400</v>
      </c>
      <c r="L36" s="78" t="s">
        <v>125</v>
      </c>
      <c r="M36" s="130">
        <f t="shared" si="7"/>
        <v>127.71000000000095</v>
      </c>
      <c r="N36" s="70"/>
      <c r="O36" s="70"/>
      <c r="P36" s="133">
        <f t="shared" si="1"/>
        <v>-8400</v>
      </c>
      <c r="Q36" s="70"/>
      <c r="R36" s="72"/>
      <c r="S36" s="70" t="s">
        <v>149</v>
      </c>
      <c r="T36" s="169">
        <v>0</v>
      </c>
      <c r="U36" s="172">
        <f t="shared" si="8"/>
        <v>-8272.289999999999</v>
      </c>
      <c r="V36" s="107">
        <v>5</v>
      </c>
      <c r="W36" s="73"/>
      <c r="X36" s="141"/>
      <c r="Y36" s="1"/>
    </row>
    <row r="37" spans="2:25" ht="12.75">
      <c r="B37" s="99" t="s">
        <v>136</v>
      </c>
      <c r="C37" s="75" t="s">
        <v>62</v>
      </c>
      <c r="D37" s="75" t="s">
        <v>146</v>
      </c>
      <c r="E37" s="75">
        <v>4</v>
      </c>
      <c r="F37" s="78">
        <f t="shared" si="2"/>
        <v>3799</v>
      </c>
      <c r="G37" s="78">
        <f t="shared" si="3"/>
        <v>18.995</v>
      </c>
      <c r="H37" s="81">
        <f t="shared" si="4"/>
        <v>315</v>
      </c>
      <c r="I37" s="78">
        <f t="shared" si="5"/>
        <v>3.15</v>
      </c>
      <c r="J37" s="91">
        <f t="shared" si="6"/>
        <v>16544.579999999998</v>
      </c>
      <c r="K37" s="112">
        <v>16600</v>
      </c>
      <c r="L37" s="78" t="s">
        <v>125</v>
      </c>
      <c r="M37" s="130">
        <f t="shared" si="7"/>
        <v>55.42000000000189</v>
      </c>
      <c r="N37" s="70"/>
      <c r="O37" s="70"/>
      <c r="P37" s="133">
        <f t="shared" si="1"/>
        <v>-16600</v>
      </c>
      <c r="Q37" s="70"/>
      <c r="R37" s="72"/>
      <c r="S37" s="70"/>
      <c r="T37" s="169">
        <v>0</v>
      </c>
      <c r="U37" s="172">
        <f t="shared" si="8"/>
        <v>-16544.579999999998</v>
      </c>
      <c r="V37" s="70"/>
      <c r="W37" s="73"/>
      <c r="X37" s="141"/>
      <c r="Y37" s="1"/>
    </row>
    <row r="38" spans="2:25" ht="12.75">
      <c r="B38" s="75" t="s">
        <v>67</v>
      </c>
      <c r="C38" s="75" t="s">
        <v>64</v>
      </c>
      <c r="D38" s="75" t="s">
        <v>151</v>
      </c>
      <c r="E38" s="75">
        <v>18</v>
      </c>
      <c r="F38" s="78">
        <f t="shared" si="2"/>
        <v>3799</v>
      </c>
      <c r="G38" s="78">
        <f t="shared" si="3"/>
        <v>18.995</v>
      </c>
      <c r="H38" s="81">
        <f t="shared" si="4"/>
        <v>315</v>
      </c>
      <c r="I38" s="78">
        <f t="shared" si="5"/>
        <v>3.15</v>
      </c>
      <c r="J38" s="91">
        <f t="shared" si="6"/>
        <v>74450.60999999999</v>
      </c>
      <c r="K38" s="112">
        <v>75000</v>
      </c>
      <c r="L38" s="78" t="s">
        <v>125</v>
      </c>
      <c r="M38" s="130">
        <f t="shared" si="7"/>
        <v>549.390000000014</v>
      </c>
      <c r="N38" s="70"/>
      <c r="O38" s="70"/>
      <c r="P38" s="133">
        <f t="shared" si="1"/>
        <v>-75000</v>
      </c>
      <c r="Q38" s="70"/>
      <c r="R38" s="72"/>
      <c r="S38" s="70"/>
      <c r="T38" s="169">
        <v>0</v>
      </c>
      <c r="U38" s="172">
        <f t="shared" si="8"/>
        <v>-74450.60999999999</v>
      </c>
      <c r="V38" s="70"/>
      <c r="W38" s="73"/>
      <c r="X38" s="141"/>
      <c r="Y38" s="1"/>
    </row>
    <row r="39" spans="2:25" ht="12.75">
      <c r="B39" s="99" t="s">
        <v>65</v>
      </c>
      <c r="C39" s="75" t="s">
        <v>66</v>
      </c>
      <c r="D39" s="75" t="s">
        <v>152</v>
      </c>
      <c r="E39" s="75">
        <v>6</v>
      </c>
      <c r="F39" s="78">
        <f t="shared" si="2"/>
        <v>3799</v>
      </c>
      <c r="G39" s="78">
        <f t="shared" si="3"/>
        <v>18.995</v>
      </c>
      <c r="H39" s="81">
        <f t="shared" si="4"/>
        <v>315</v>
      </c>
      <c r="I39" s="78">
        <f t="shared" si="5"/>
        <v>3.15</v>
      </c>
      <c r="J39" s="91">
        <f t="shared" si="6"/>
        <v>24816.869999999995</v>
      </c>
      <c r="K39" s="112">
        <v>23000</v>
      </c>
      <c r="L39" s="78" t="s">
        <v>125</v>
      </c>
      <c r="M39" s="130">
        <f t="shared" si="7"/>
        <v>-1816.8699999999953</v>
      </c>
      <c r="N39" s="70"/>
      <c r="O39" s="70"/>
      <c r="P39" s="133">
        <f t="shared" si="1"/>
        <v>-23000</v>
      </c>
      <c r="Q39" s="70"/>
      <c r="R39" s="72"/>
      <c r="S39" s="70"/>
      <c r="T39" s="169">
        <v>0</v>
      </c>
      <c r="U39" s="172">
        <f t="shared" si="8"/>
        <v>-24816.869999999995</v>
      </c>
      <c r="V39" s="70"/>
      <c r="W39" s="73"/>
      <c r="X39" s="141"/>
      <c r="Y39" s="1"/>
    </row>
    <row r="40" spans="2:25" ht="12.75">
      <c r="B40" s="150" t="s">
        <v>157</v>
      </c>
      <c r="C40" s="46"/>
      <c r="D40" s="46"/>
      <c r="E40" s="46">
        <v>1</v>
      </c>
      <c r="F40" s="78">
        <f t="shared" si="2"/>
        <v>3799</v>
      </c>
      <c r="G40" s="78">
        <f t="shared" si="3"/>
        <v>18.995</v>
      </c>
      <c r="H40" s="81">
        <f t="shared" si="4"/>
        <v>315</v>
      </c>
      <c r="I40" s="78">
        <f t="shared" si="5"/>
        <v>3.15</v>
      </c>
      <c r="J40" s="91">
        <f>E40*(F40+G40+H40+I40)</f>
        <v>4136.1449999999995</v>
      </c>
      <c r="K40" s="149">
        <v>0</v>
      </c>
      <c r="L40" s="156" t="s">
        <v>50</v>
      </c>
      <c r="M40" s="130">
        <f t="shared" si="7"/>
        <v>-4136.1449999999995</v>
      </c>
      <c r="N40" s="146"/>
      <c r="O40" s="146"/>
      <c r="P40" s="133">
        <f t="shared" si="1"/>
        <v>0</v>
      </c>
      <c r="Q40" s="146"/>
      <c r="R40" s="147"/>
      <c r="S40" s="146"/>
      <c r="T40" s="188">
        <v>0</v>
      </c>
      <c r="U40" s="176">
        <f t="shared" si="8"/>
        <v>-4136.1449999999995</v>
      </c>
      <c r="V40" s="146"/>
      <c r="W40" s="148"/>
      <c r="X40" s="141"/>
      <c r="Y40" s="1"/>
    </row>
    <row r="41" spans="1:25" s="36" customFormat="1" ht="12.75">
      <c r="A41" s="155" t="s">
        <v>21</v>
      </c>
      <c r="C41" s="30"/>
      <c r="D41" s="30"/>
      <c r="E41" s="30"/>
      <c r="F41" s="30"/>
      <c r="G41" s="30"/>
      <c r="H41" s="31"/>
      <c r="I41" s="31"/>
      <c r="J41" s="32"/>
      <c r="K41" s="32"/>
      <c r="L41" s="31"/>
      <c r="M41" s="134"/>
      <c r="N41" s="31"/>
      <c r="O41" s="31"/>
      <c r="P41" s="134"/>
      <c r="Q41" s="31"/>
      <c r="R41" s="41"/>
      <c r="S41" s="31"/>
      <c r="T41" s="31"/>
      <c r="U41" s="175"/>
      <c r="V41" s="31"/>
      <c r="W41" s="33"/>
      <c r="X41" s="139"/>
      <c r="Y41" s="35"/>
    </row>
    <row r="42" spans="1:25" s="59" customFormat="1" ht="12.75">
      <c r="A42" s="43"/>
      <c r="B42" s="75" t="s">
        <v>127</v>
      </c>
      <c r="C42" s="46" t="s">
        <v>7</v>
      </c>
      <c r="D42" s="43"/>
      <c r="E42" s="46">
        <v>2</v>
      </c>
      <c r="F42" s="78">
        <f>$F$4</f>
        <v>3799</v>
      </c>
      <c r="G42" s="78">
        <f>$F42*0.5/100</f>
        <v>18.995</v>
      </c>
      <c r="H42" s="81">
        <f>$H$4</f>
        <v>315</v>
      </c>
      <c r="I42" s="78">
        <f>$H42*1/100</f>
        <v>3.15</v>
      </c>
      <c r="J42" s="91">
        <f aca="true" t="shared" si="9" ref="J42:J50">E42*(F42+G42+H42+I42)</f>
        <v>8272.289999999999</v>
      </c>
      <c r="K42" s="112">
        <v>8250</v>
      </c>
      <c r="L42" s="88"/>
      <c r="M42" s="130">
        <f aca="true" t="shared" si="10" ref="M42:M50">-J42+K42</f>
        <v>-22.289999999999054</v>
      </c>
      <c r="N42" s="51"/>
      <c r="O42" s="51"/>
      <c r="P42" s="133">
        <f>-K42+N42</f>
        <v>-8250</v>
      </c>
      <c r="Q42" s="51"/>
      <c r="R42" s="115"/>
      <c r="S42" s="51"/>
      <c r="T42" s="51"/>
      <c r="U42" s="177"/>
      <c r="V42" s="51"/>
      <c r="W42" s="116"/>
      <c r="X42" s="140"/>
      <c r="Y42" s="60"/>
    </row>
    <row r="43" spans="2:25" ht="12.75">
      <c r="B43" s="75" t="s">
        <v>109</v>
      </c>
      <c r="C43" s="75" t="s">
        <v>90</v>
      </c>
      <c r="D43" s="85" t="s">
        <v>110</v>
      </c>
      <c r="E43" s="75">
        <v>1</v>
      </c>
      <c r="F43" s="78">
        <f>$F$4-550</f>
        <v>3249</v>
      </c>
      <c r="G43" s="78">
        <f>$F43*0.5/100</f>
        <v>16.245</v>
      </c>
      <c r="H43" s="81">
        <f>$H$4</f>
        <v>315</v>
      </c>
      <c r="I43" s="78">
        <f>$H43*1/100</f>
        <v>3.15</v>
      </c>
      <c r="J43" s="91">
        <f t="shared" si="9"/>
        <v>3583.395</v>
      </c>
      <c r="K43" s="91">
        <f>3560+50</f>
        <v>3610</v>
      </c>
      <c r="L43" s="78" t="s">
        <v>126</v>
      </c>
      <c r="M43" s="130">
        <f t="shared" si="10"/>
        <v>26.605000000000018</v>
      </c>
      <c r="N43" s="166">
        <v>8</v>
      </c>
      <c r="O43" s="78" t="s">
        <v>170</v>
      </c>
      <c r="P43" s="133">
        <f>-K43+N43</f>
        <v>-3602</v>
      </c>
      <c r="Q43" s="70"/>
      <c r="R43" s="72" t="s">
        <v>120</v>
      </c>
      <c r="S43" s="153" t="s">
        <v>50</v>
      </c>
      <c r="T43" s="70">
        <v>2</v>
      </c>
      <c r="U43" s="172"/>
      <c r="V43" s="70"/>
      <c r="W43" s="73"/>
      <c r="X43" s="141"/>
      <c r="Y43" s="1"/>
    </row>
    <row r="44" spans="2:25" ht="12.75">
      <c r="B44" s="75" t="s">
        <v>4</v>
      </c>
      <c r="C44" s="75" t="s">
        <v>68</v>
      </c>
      <c r="D44" s="82" t="s">
        <v>9</v>
      </c>
      <c r="E44" s="85">
        <v>2</v>
      </c>
      <c r="F44" s="78">
        <f>$F$4</f>
        <v>3799</v>
      </c>
      <c r="G44" s="78">
        <f>$F44*0.5/100</f>
        <v>18.995</v>
      </c>
      <c r="H44" s="81">
        <f>$H$4</f>
        <v>315</v>
      </c>
      <c r="I44" s="78">
        <f>$H44*1/100</f>
        <v>3.15</v>
      </c>
      <c r="J44" s="91">
        <f t="shared" si="9"/>
        <v>8272.289999999999</v>
      </c>
      <c r="K44" s="91">
        <v>7420</v>
      </c>
      <c r="L44" s="78" t="s">
        <v>120</v>
      </c>
      <c r="M44" s="130">
        <f t="shared" si="10"/>
        <v>-852.289999999999</v>
      </c>
      <c r="N44" s="78">
        <v>3986</v>
      </c>
      <c r="O44" s="70"/>
      <c r="P44" s="133">
        <f t="shared" si="1"/>
        <v>-3434</v>
      </c>
      <c r="Q44" s="70" t="s">
        <v>145</v>
      </c>
      <c r="R44" s="72" t="s">
        <v>145</v>
      </c>
      <c r="S44" s="70"/>
      <c r="T44" s="70">
        <v>4</v>
      </c>
      <c r="U44" s="172"/>
      <c r="V44" s="96">
        <v>20</v>
      </c>
      <c r="W44" s="73"/>
      <c r="X44" s="141"/>
      <c r="Y44" s="1"/>
    </row>
    <row r="45" spans="2:25" ht="12.75">
      <c r="B45" s="75" t="s">
        <v>119</v>
      </c>
      <c r="C45" s="75" t="s">
        <v>118</v>
      </c>
      <c r="D45" s="75" t="s">
        <v>22</v>
      </c>
      <c r="E45" s="75">
        <v>1</v>
      </c>
      <c r="F45" s="78">
        <f>$F$4</f>
        <v>3799</v>
      </c>
      <c r="G45" s="78">
        <f>$F45*0.5/100</f>
        <v>18.995</v>
      </c>
      <c r="H45" s="81">
        <f>$H$4</f>
        <v>315</v>
      </c>
      <c r="I45" s="78">
        <f>$H45*1/100</f>
        <v>3.15</v>
      </c>
      <c r="J45" s="91">
        <f t="shared" si="9"/>
        <v>4136.1449999999995</v>
      </c>
      <c r="K45" s="112">
        <v>4110</v>
      </c>
      <c r="L45" s="78" t="s">
        <v>125</v>
      </c>
      <c r="M45" s="130">
        <f t="shared" si="10"/>
        <v>-26.144999999999527</v>
      </c>
      <c r="N45" s="193" t="s">
        <v>38</v>
      </c>
      <c r="O45" s="70"/>
      <c r="P45" s="133" t="e">
        <f t="shared" si="1"/>
        <v>#VALUE!</v>
      </c>
      <c r="Q45" s="70"/>
      <c r="R45" s="72" t="s">
        <v>125</v>
      </c>
      <c r="S45" s="70"/>
      <c r="T45" s="70">
        <v>2</v>
      </c>
      <c r="U45" s="172"/>
      <c r="V45" s="70"/>
      <c r="W45" s="73"/>
      <c r="X45" s="141"/>
      <c r="Y45" s="1"/>
    </row>
    <row r="46" spans="2:25" ht="12.75">
      <c r="B46" s="151" t="s">
        <v>171</v>
      </c>
      <c r="C46" s="75"/>
      <c r="D46" s="75"/>
      <c r="E46" s="75"/>
      <c r="F46" s="78"/>
      <c r="G46" s="78"/>
      <c r="H46" s="81"/>
      <c r="I46" s="78"/>
      <c r="J46" s="91"/>
      <c r="K46" s="112"/>
      <c r="L46" s="153" t="s">
        <v>125</v>
      </c>
      <c r="M46" s="130"/>
      <c r="N46" s="70"/>
      <c r="O46" s="70"/>
      <c r="P46" s="133"/>
      <c r="Q46" s="70"/>
      <c r="R46" s="72"/>
      <c r="S46" s="70"/>
      <c r="T46" s="70"/>
      <c r="U46" s="172"/>
      <c r="V46" s="70"/>
      <c r="W46" s="73"/>
      <c r="X46" s="141"/>
      <c r="Y46" s="1"/>
    </row>
    <row r="47" spans="2:25" ht="12.75">
      <c r="B47" s="75" t="s">
        <v>107</v>
      </c>
      <c r="C47" s="100" t="s">
        <v>104</v>
      </c>
      <c r="D47" s="85" t="s">
        <v>103</v>
      </c>
      <c r="E47" s="75">
        <v>2</v>
      </c>
      <c r="F47" s="78">
        <f>$F$4</f>
        <v>3799</v>
      </c>
      <c r="G47" s="78">
        <f>$F47*0.5/100</f>
        <v>18.995</v>
      </c>
      <c r="H47" s="79"/>
      <c r="I47" s="70"/>
      <c r="J47" s="91">
        <f t="shared" si="9"/>
        <v>7635.99</v>
      </c>
      <c r="K47" s="112">
        <f>3250*2</f>
        <v>6500</v>
      </c>
      <c r="L47" s="78" t="s">
        <v>126</v>
      </c>
      <c r="M47" s="130">
        <f t="shared" si="10"/>
        <v>-1135.9899999999998</v>
      </c>
      <c r="N47" s="193" t="s">
        <v>38</v>
      </c>
      <c r="O47" s="70"/>
      <c r="P47" s="133" t="e">
        <f t="shared" si="1"/>
        <v>#VALUE!</v>
      </c>
      <c r="Q47" s="70"/>
      <c r="R47" s="72"/>
      <c r="S47" s="70"/>
      <c r="T47" s="70">
        <v>4</v>
      </c>
      <c r="U47" s="172"/>
      <c r="V47" s="70"/>
      <c r="W47" s="73"/>
      <c r="X47" s="141"/>
      <c r="Y47" s="1"/>
    </row>
    <row r="48" spans="2:25" ht="12.75">
      <c r="B48" s="75" t="s">
        <v>108</v>
      </c>
      <c r="C48" s="100" t="s">
        <v>104</v>
      </c>
      <c r="D48" s="85" t="s">
        <v>103</v>
      </c>
      <c r="E48" s="75">
        <v>2</v>
      </c>
      <c r="F48" s="88"/>
      <c r="G48" s="88"/>
      <c r="H48" s="81">
        <f>$H$4</f>
        <v>315</v>
      </c>
      <c r="I48" s="78">
        <f>$H48*1/100</f>
        <v>3.15</v>
      </c>
      <c r="J48" s="91">
        <f t="shared" si="9"/>
        <v>636.3</v>
      </c>
      <c r="K48" s="112">
        <f>310*2</f>
        <v>620</v>
      </c>
      <c r="L48" s="78" t="s">
        <v>126</v>
      </c>
      <c r="M48" s="130">
        <f t="shared" si="10"/>
        <v>-16.299999999999955</v>
      </c>
      <c r="N48" s="193" t="s">
        <v>38</v>
      </c>
      <c r="O48" s="70"/>
      <c r="P48" s="133" t="e">
        <f t="shared" si="1"/>
        <v>#VALUE!</v>
      </c>
      <c r="Q48" s="70"/>
      <c r="R48" s="72"/>
      <c r="S48" s="70"/>
      <c r="T48" s="70"/>
      <c r="U48" s="172"/>
      <c r="V48" s="70"/>
      <c r="W48" s="73"/>
      <c r="X48" s="141"/>
      <c r="Y48" s="1"/>
    </row>
    <row r="49" spans="2:25" ht="12.75">
      <c r="B49" s="75" t="s">
        <v>106</v>
      </c>
      <c r="C49" s="100" t="s">
        <v>104</v>
      </c>
      <c r="D49" s="85" t="s">
        <v>103</v>
      </c>
      <c r="E49" s="75">
        <v>2</v>
      </c>
      <c r="F49" s="78">
        <f>$F$4</f>
        <v>3799</v>
      </c>
      <c r="G49" s="78">
        <f>$F49*0.5/100</f>
        <v>18.995</v>
      </c>
      <c r="H49" s="81">
        <f>$H$4</f>
        <v>315</v>
      </c>
      <c r="I49" s="78">
        <f>$H49*1/100</f>
        <v>3.15</v>
      </c>
      <c r="J49" s="91">
        <f t="shared" si="9"/>
        <v>8272.289999999999</v>
      </c>
      <c r="K49" s="112">
        <f>3560*2</f>
        <v>7120</v>
      </c>
      <c r="L49" s="78" t="s">
        <v>126</v>
      </c>
      <c r="M49" s="130">
        <f t="shared" si="10"/>
        <v>-1152.289999999999</v>
      </c>
      <c r="N49" s="193" t="s">
        <v>38</v>
      </c>
      <c r="O49" s="70"/>
      <c r="P49" s="133" t="e">
        <f t="shared" si="1"/>
        <v>#VALUE!</v>
      </c>
      <c r="Q49" s="70"/>
      <c r="R49" s="72"/>
      <c r="S49" s="70"/>
      <c r="T49" s="70">
        <v>4</v>
      </c>
      <c r="U49" s="172"/>
      <c r="V49" s="70"/>
      <c r="W49" s="73"/>
      <c r="X49" s="141"/>
      <c r="Y49" s="1"/>
    </row>
    <row r="50" spans="2:25" s="39" customFormat="1" ht="12.75">
      <c r="B50" s="100" t="s">
        <v>105</v>
      </c>
      <c r="C50" s="100" t="s">
        <v>104</v>
      </c>
      <c r="D50" s="85" t="s">
        <v>103</v>
      </c>
      <c r="E50" s="100">
        <v>3</v>
      </c>
      <c r="F50" s="78">
        <f>$F$4</f>
        <v>3799</v>
      </c>
      <c r="G50" s="78">
        <f>$F50*0.5/100</f>
        <v>18.995</v>
      </c>
      <c r="H50" s="81">
        <f>$H$4</f>
        <v>315</v>
      </c>
      <c r="I50" s="78">
        <f>$H50*1/100</f>
        <v>3.15</v>
      </c>
      <c r="J50" s="91">
        <f t="shared" si="9"/>
        <v>12408.434999999998</v>
      </c>
      <c r="K50" s="117">
        <f>3560*3</f>
        <v>10680</v>
      </c>
      <c r="L50" s="78" t="s">
        <v>126</v>
      </c>
      <c r="M50" s="130">
        <f t="shared" si="10"/>
        <v>-1728.4349999999977</v>
      </c>
      <c r="N50" s="193" t="s">
        <v>38</v>
      </c>
      <c r="O50" s="103"/>
      <c r="P50" s="133" t="e">
        <f t="shared" si="1"/>
        <v>#VALUE!</v>
      </c>
      <c r="Q50" s="103"/>
      <c r="R50" s="109"/>
      <c r="S50" s="103"/>
      <c r="T50" s="103">
        <v>6</v>
      </c>
      <c r="U50" s="178"/>
      <c r="V50" s="103"/>
      <c r="W50" s="110"/>
      <c r="X50" s="142"/>
      <c r="Y50" s="38"/>
    </row>
    <row r="51" spans="1:25" s="36" customFormat="1" ht="12.75">
      <c r="A51" s="155" t="s">
        <v>161</v>
      </c>
      <c r="C51" s="30"/>
      <c r="D51" s="30"/>
      <c r="E51" s="30"/>
      <c r="G51" s="30"/>
      <c r="I51" s="31"/>
      <c r="J51" s="31"/>
      <c r="K51" s="32"/>
      <c r="L51" s="31"/>
      <c r="M51" s="134"/>
      <c r="N51" s="31"/>
      <c r="O51" s="31"/>
      <c r="P51" s="134"/>
      <c r="Q51" s="31"/>
      <c r="R51" s="41"/>
      <c r="S51" s="31"/>
      <c r="T51" s="31"/>
      <c r="U51" s="175"/>
      <c r="V51" s="31"/>
      <c r="W51" s="33"/>
      <c r="X51" s="139"/>
      <c r="Y51" s="35"/>
    </row>
    <row r="52" spans="2:25" s="59" customFormat="1" ht="12.75">
      <c r="B52" s="151" t="s">
        <v>162</v>
      </c>
      <c r="C52" s="92"/>
      <c r="D52" s="92"/>
      <c r="E52" s="75">
        <v>1</v>
      </c>
      <c r="F52" s="78">
        <f>$F$4-550</f>
        <v>3249</v>
      </c>
      <c r="G52" s="78">
        <f>$F52*0.5/100</f>
        <v>16.245</v>
      </c>
      <c r="H52" s="81">
        <f>$H$4</f>
        <v>315</v>
      </c>
      <c r="I52" s="78">
        <f>$H52*1/100</f>
        <v>3.15</v>
      </c>
      <c r="J52" s="91">
        <f>E52*(F52+G52+H52+I52)</f>
        <v>3583.395</v>
      </c>
      <c r="K52" s="112">
        <v>0</v>
      </c>
      <c r="L52" s="78" t="s">
        <v>123</v>
      </c>
      <c r="M52" s="130">
        <f>-J52+K52</f>
        <v>-3583.395</v>
      </c>
      <c r="N52" s="88"/>
      <c r="O52" s="88"/>
      <c r="P52" s="133">
        <f>-K52+N52</f>
        <v>0</v>
      </c>
      <c r="Q52" s="88"/>
      <c r="R52" s="95"/>
      <c r="S52" s="88"/>
      <c r="T52" s="88"/>
      <c r="U52" s="173"/>
      <c r="V52" s="88"/>
      <c r="W52" s="97"/>
      <c r="X52" s="140"/>
      <c r="Y52" s="60"/>
    </row>
    <row r="53" spans="1:25" s="52" customFormat="1" ht="12.75">
      <c r="A53" s="155" t="s">
        <v>28</v>
      </c>
      <c r="C53" s="53"/>
      <c r="D53" s="53"/>
      <c r="E53" s="53"/>
      <c r="F53" s="54"/>
      <c r="G53" s="55"/>
      <c r="I53" s="58"/>
      <c r="J53" s="54"/>
      <c r="K53" s="54"/>
      <c r="L53" s="55"/>
      <c r="M53" s="134"/>
      <c r="N53" s="55"/>
      <c r="O53" s="55"/>
      <c r="P53" s="134"/>
      <c r="Q53" s="55"/>
      <c r="R53" s="56"/>
      <c r="S53" s="55"/>
      <c r="T53" s="55"/>
      <c r="U53" s="179"/>
      <c r="V53" s="55"/>
      <c r="W53" s="57"/>
      <c r="X53" s="143"/>
      <c r="Y53" s="58"/>
    </row>
    <row r="54" spans="1:25" s="39" customFormat="1" ht="12.75">
      <c r="A54" s="37"/>
      <c r="B54" s="85" t="s">
        <v>112</v>
      </c>
      <c r="C54" s="85" t="s">
        <v>7</v>
      </c>
      <c r="D54" s="85"/>
      <c r="E54" s="85">
        <v>1</v>
      </c>
      <c r="F54" s="78">
        <f>$F$4</f>
        <v>3799</v>
      </c>
      <c r="G54" s="78">
        <f>$F54*0.5/100</f>
        <v>18.995</v>
      </c>
      <c r="H54" s="81">
        <f>$H$4</f>
        <v>315</v>
      </c>
      <c r="I54" s="78">
        <f>$H54*1/100</f>
        <v>3.15</v>
      </c>
      <c r="J54" s="91">
        <f>E54*(F54+G54+H54+I54)</f>
        <v>4136.1449999999995</v>
      </c>
      <c r="K54" s="117">
        <v>4110</v>
      </c>
      <c r="L54" s="103"/>
      <c r="M54" s="130">
        <f>-J54+K54</f>
        <v>-26.144999999999527</v>
      </c>
      <c r="N54" s="103"/>
      <c r="O54" s="103"/>
      <c r="P54" s="133">
        <f t="shared" si="1"/>
        <v>-4110</v>
      </c>
      <c r="Q54" s="103"/>
      <c r="R54" s="109"/>
      <c r="S54" s="103"/>
      <c r="T54" s="103">
        <v>0</v>
      </c>
      <c r="U54" s="178">
        <f>-J54+T54</f>
        <v>-4136.1449999999995</v>
      </c>
      <c r="V54" s="103"/>
      <c r="W54" s="110"/>
      <c r="X54" s="111"/>
      <c r="Y54" s="38"/>
    </row>
    <row r="55" spans="2:25" s="39" customFormat="1" ht="12.75">
      <c r="B55" s="100" t="s">
        <v>113</v>
      </c>
      <c r="C55" s="100" t="s">
        <v>104</v>
      </c>
      <c r="D55" s="100" t="s">
        <v>111</v>
      </c>
      <c r="E55" s="100">
        <v>1</v>
      </c>
      <c r="F55" s="78">
        <f>$F$4</f>
        <v>3799</v>
      </c>
      <c r="G55" s="78">
        <f>$F55*0.5/100</f>
        <v>18.995</v>
      </c>
      <c r="H55" s="81">
        <f>$H$4</f>
        <v>315</v>
      </c>
      <c r="I55" s="78">
        <f>$H55*1/100</f>
        <v>3.15</v>
      </c>
      <c r="J55" s="91">
        <f>E55*(F55+G55+H55+I55)</f>
        <v>4136.1449999999995</v>
      </c>
      <c r="K55" s="118">
        <v>4110</v>
      </c>
      <c r="L55" s="78" t="s">
        <v>126</v>
      </c>
      <c r="M55" s="130">
        <f>-J55+K55</f>
        <v>-26.144999999999527</v>
      </c>
      <c r="N55" s="103">
        <v>50</v>
      </c>
      <c r="O55" s="103"/>
      <c r="P55" s="133">
        <f t="shared" si="1"/>
        <v>-4060</v>
      </c>
      <c r="Q55" s="103"/>
      <c r="R55" s="109"/>
      <c r="S55" s="153" t="s">
        <v>50</v>
      </c>
      <c r="T55" s="189">
        <v>10</v>
      </c>
      <c r="U55" s="178">
        <f>-J55+T55</f>
        <v>-4126.1449999999995</v>
      </c>
      <c r="V55" s="103"/>
      <c r="W55" s="110"/>
      <c r="X55" s="111"/>
      <c r="Y55" s="38"/>
    </row>
    <row r="56" spans="2:25" s="39" customFormat="1" ht="12.75">
      <c r="B56" s="100" t="s">
        <v>114</v>
      </c>
      <c r="C56" s="100" t="s">
        <v>7</v>
      </c>
      <c r="D56" s="101"/>
      <c r="E56" s="101"/>
      <c r="F56" s="102"/>
      <c r="G56" s="103"/>
      <c r="H56" s="101"/>
      <c r="I56" s="111"/>
      <c r="J56" s="102" t="s">
        <v>50</v>
      </c>
      <c r="K56" s="102"/>
      <c r="L56" s="103"/>
      <c r="M56" s="130"/>
      <c r="N56" s="103"/>
      <c r="O56" s="103"/>
      <c r="P56" s="133">
        <f t="shared" si="1"/>
        <v>0</v>
      </c>
      <c r="Q56" s="103"/>
      <c r="R56" s="109"/>
      <c r="S56" s="103"/>
      <c r="T56" s="103"/>
      <c r="U56" s="178"/>
      <c r="V56" s="103"/>
      <c r="W56" s="110"/>
      <c r="X56" s="111"/>
      <c r="Y56" s="38"/>
    </row>
    <row r="57" spans="2:25" s="39" customFormat="1" ht="12.75">
      <c r="B57" s="100" t="s">
        <v>115</v>
      </c>
      <c r="C57" s="100" t="s">
        <v>116</v>
      </c>
      <c r="D57" s="100" t="s">
        <v>117</v>
      </c>
      <c r="E57" s="100">
        <v>1</v>
      </c>
      <c r="F57" s="78">
        <f aca="true" t="shared" si="11" ref="F57:F66">$F$4</f>
        <v>3799</v>
      </c>
      <c r="G57" s="78">
        <f aca="true" t="shared" si="12" ref="G57:G66">$F57*0.5/100</f>
        <v>18.995</v>
      </c>
      <c r="H57" s="81">
        <f aca="true" t="shared" si="13" ref="H57:H66">$H$4</f>
        <v>315</v>
      </c>
      <c r="I57" s="78">
        <f aca="true" t="shared" si="14" ref="I57:I66">$H57*1/100</f>
        <v>3.15</v>
      </c>
      <c r="J57" s="91">
        <f aca="true" t="shared" si="15" ref="J57:J62">E57*(F57+G57+H57+I57)</f>
        <v>4136.1449999999995</v>
      </c>
      <c r="K57" s="118">
        <f>4110+50</f>
        <v>4160</v>
      </c>
      <c r="L57" s="78" t="s">
        <v>126</v>
      </c>
      <c r="M57" s="130">
        <f>-J57+K57</f>
        <v>23.855000000000473</v>
      </c>
      <c r="N57" s="103"/>
      <c r="O57" s="103"/>
      <c r="P57" s="133">
        <f t="shared" si="1"/>
        <v>-4160</v>
      </c>
      <c r="Q57" s="103"/>
      <c r="R57" s="109"/>
      <c r="S57" s="153" t="s">
        <v>50</v>
      </c>
      <c r="T57" s="189">
        <v>10</v>
      </c>
      <c r="U57" s="178">
        <f>-J57+T57</f>
        <v>-4126.1449999999995</v>
      </c>
      <c r="V57" s="103"/>
      <c r="W57" s="110"/>
      <c r="X57" s="111"/>
      <c r="Y57" s="38"/>
    </row>
    <row r="58" spans="2:25" s="39" customFormat="1" ht="12.75">
      <c r="B58" s="100" t="s">
        <v>43</v>
      </c>
      <c r="C58" s="101"/>
      <c r="D58" s="100" t="s">
        <v>44</v>
      </c>
      <c r="E58" s="100">
        <v>3</v>
      </c>
      <c r="F58" s="78">
        <f t="shared" si="11"/>
        <v>3799</v>
      </c>
      <c r="G58" s="78">
        <f t="shared" si="12"/>
        <v>18.995</v>
      </c>
      <c r="H58" s="81">
        <f t="shared" si="13"/>
        <v>315</v>
      </c>
      <c r="I58" s="78">
        <f t="shared" si="14"/>
        <v>3.15</v>
      </c>
      <c r="J58" s="91">
        <f t="shared" si="15"/>
        <v>12408.434999999998</v>
      </c>
      <c r="K58" s="117" t="s">
        <v>147</v>
      </c>
      <c r="L58" s="119" t="s">
        <v>125</v>
      </c>
      <c r="M58" s="130"/>
      <c r="N58" s="103"/>
      <c r="O58" s="103"/>
      <c r="P58" s="133"/>
      <c r="Q58" s="103"/>
      <c r="R58" s="109"/>
      <c r="S58" s="103" t="s">
        <v>148</v>
      </c>
      <c r="T58" s="190">
        <v>0</v>
      </c>
      <c r="U58" s="178">
        <f>-J58+T58</f>
        <v>-12408.434999999998</v>
      </c>
      <c r="V58" s="103"/>
      <c r="W58" s="110"/>
      <c r="X58" s="111"/>
      <c r="Y58" s="38"/>
    </row>
    <row r="59" spans="2:25" s="39" customFormat="1" ht="12.75">
      <c r="B59" s="100" t="s">
        <v>45</v>
      </c>
      <c r="C59" s="101"/>
      <c r="D59" s="100" t="s">
        <v>29</v>
      </c>
      <c r="E59" s="100">
        <v>3</v>
      </c>
      <c r="F59" s="78">
        <f t="shared" si="11"/>
        <v>3799</v>
      </c>
      <c r="G59" s="78">
        <f t="shared" si="12"/>
        <v>18.995</v>
      </c>
      <c r="H59" s="81">
        <f t="shared" si="13"/>
        <v>315</v>
      </c>
      <c r="I59" s="78">
        <f t="shared" si="14"/>
        <v>3.15</v>
      </c>
      <c r="J59" s="91">
        <f t="shared" si="15"/>
        <v>12408.434999999998</v>
      </c>
      <c r="K59" s="117">
        <v>12300</v>
      </c>
      <c r="L59" s="119" t="s">
        <v>125</v>
      </c>
      <c r="M59" s="130">
        <f aca="true" t="shared" si="16" ref="M59:M70">-J59+K59</f>
        <v>-108.43499999999767</v>
      </c>
      <c r="N59" s="103"/>
      <c r="O59" s="103"/>
      <c r="P59" s="133">
        <f t="shared" si="1"/>
        <v>-12300</v>
      </c>
      <c r="Q59" s="103"/>
      <c r="R59" s="109"/>
      <c r="S59" s="103"/>
      <c r="T59" s="190">
        <v>0</v>
      </c>
      <c r="U59" s="178">
        <f>-J59+T59</f>
        <v>-12408.434999999998</v>
      </c>
      <c r="V59" s="103"/>
      <c r="W59" s="110"/>
      <c r="X59" s="111"/>
      <c r="Y59" s="38"/>
    </row>
    <row r="60" spans="2:25" s="39" customFormat="1" ht="12.75">
      <c r="B60" s="100" t="s">
        <v>46</v>
      </c>
      <c r="C60" s="101"/>
      <c r="D60" s="100" t="s">
        <v>30</v>
      </c>
      <c r="E60" s="100">
        <v>6</v>
      </c>
      <c r="F60" s="78">
        <f t="shared" si="11"/>
        <v>3799</v>
      </c>
      <c r="G60" s="78">
        <f t="shared" si="12"/>
        <v>18.995</v>
      </c>
      <c r="H60" s="81">
        <f t="shared" si="13"/>
        <v>315</v>
      </c>
      <c r="I60" s="78">
        <f t="shared" si="14"/>
        <v>3.15</v>
      </c>
      <c r="J60" s="91">
        <f t="shared" si="15"/>
        <v>24816.869999999995</v>
      </c>
      <c r="K60" s="118">
        <v>25000</v>
      </c>
      <c r="L60" s="119" t="s">
        <v>125</v>
      </c>
      <c r="M60" s="130">
        <f t="shared" si="16"/>
        <v>183.13000000000466</v>
      </c>
      <c r="N60" s="103"/>
      <c r="O60" s="103"/>
      <c r="P60" s="133">
        <f t="shared" si="1"/>
        <v>-25000</v>
      </c>
      <c r="Q60" s="103"/>
      <c r="R60" s="109"/>
      <c r="S60" s="103"/>
      <c r="T60" s="190">
        <v>0</v>
      </c>
      <c r="U60" s="178">
        <f>-J60+T60</f>
        <v>-24816.869999999995</v>
      </c>
      <c r="V60" s="103"/>
      <c r="W60" s="110"/>
      <c r="X60" s="111"/>
      <c r="Y60" s="38"/>
    </row>
    <row r="61" spans="2:25" s="39" customFormat="1" ht="12.75">
      <c r="B61" s="100" t="s">
        <v>47</v>
      </c>
      <c r="C61" s="101"/>
      <c r="D61" s="100" t="s">
        <v>31</v>
      </c>
      <c r="E61" s="100">
        <v>3</v>
      </c>
      <c r="F61" s="78">
        <f t="shared" si="11"/>
        <v>3799</v>
      </c>
      <c r="G61" s="78">
        <f t="shared" si="12"/>
        <v>18.995</v>
      </c>
      <c r="H61" s="81">
        <f t="shared" si="13"/>
        <v>315</v>
      </c>
      <c r="I61" s="78">
        <f t="shared" si="14"/>
        <v>3.15</v>
      </c>
      <c r="J61" s="91">
        <f t="shared" si="15"/>
        <v>12408.434999999998</v>
      </c>
      <c r="K61" s="117">
        <v>12400</v>
      </c>
      <c r="L61" s="119" t="s">
        <v>125</v>
      </c>
      <c r="M61" s="130">
        <f t="shared" si="16"/>
        <v>-8.434999999997672</v>
      </c>
      <c r="N61" s="103"/>
      <c r="O61" s="103"/>
      <c r="P61" s="133">
        <f t="shared" si="1"/>
        <v>-12400</v>
      </c>
      <c r="Q61" s="103"/>
      <c r="R61" s="109"/>
      <c r="S61" s="103" t="s">
        <v>148</v>
      </c>
      <c r="T61" s="190">
        <v>0</v>
      </c>
      <c r="U61" s="178">
        <f>-J61+T61</f>
        <v>-12408.434999999998</v>
      </c>
      <c r="V61" s="103"/>
      <c r="W61" s="110"/>
      <c r="X61" s="111"/>
      <c r="Y61" s="38"/>
    </row>
    <row r="62" spans="2:25" s="39" customFormat="1" ht="12.75">
      <c r="B62" s="100" t="s">
        <v>49</v>
      </c>
      <c r="C62" s="101"/>
      <c r="D62" s="100" t="s">
        <v>32</v>
      </c>
      <c r="E62" s="100">
        <v>1</v>
      </c>
      <c r="F62" s="78">
        <f t="shared" si="11"/>
        <v>3799</v>
      </c>
      <c r="G62" s="78">
        <f t="shared" si="12"/>
        <v>18.995</v>
      </c>
      <c r="H62" s="81">
        <f t="shared" si="13"/>
        <v>315</v>
      </c>
      <c r="I62" s="78">
        <f t="shared" si="14"/>
        <v>3.15</v>
      </c>
      <c r="J62" s="91">
        <f t="shared" si="15"/>
        <v>4136.1449999999995</v>
      </c>
      <c r="K62" s="117">
        <v>4200</v>
      </c>
      <c r="L62" s="119" t="s">
        <v>125</v>
      </c>
      <c r="M62" s="130">
        <f t="shared" si="16"/>
        <v>63.85500000000047</v>
      </c>
      <c r="N62" s="103"/>
      <c r="O62" s="103"/>
      <c r="P62" s="133">
        <f t="shared" si="1"/>
        <v>-4200</v>
      </c>
      <c r="Q62" s="103"/>
      <c r="R62" s="109"/>
      <c r="S62" s="103"/>
      <c r="T62" s="190">
        <v>0</v>
      </c>
      <c r="U62" s="178">
        <v>-4136</v>
      </c>
      <c r="V62" s="103"/>
      <c r="W62" s="110"/>
      <c r="X62" s="111"/>
      <c r="Y62" s="38"/>
    </row>
    <row r="63" spans="2:25" ht="12.75">
      <c r="B63" s="99" t="s">
        <v>10</v>
      </c>
      <c r="C63" s="69" t="s">
        <v>7</v>
      </c>
      <c r="D63" s="104" t="s">
        <v>11</v>
      </c>
      <c r="E63" s="77">
        <v>2</v>
      </c>
      <c r="F63" s="78">
        <f t="shared" si="11"/>
        <v>3799</v>
      </c>
      <c r="G63" s="78">
        <f t="shared" si="12"/>
        <v>18.995</v>
      </c>
      <c r="H63" s="81">
        <f t="shared" si="13"/>
        <v>315</v>
      </c>
      <c r="I63" s="78">
        <f t="shared" si="14"/>
        <v>3.15</v>
      </c>
      <c r="J63" s="91">
        <f aca="true" t="shared" si="17" ref="J63:J70">E63*(F63+G63+H63+I63)</f>
        <v>8272.289999999999</v>
      </c>
      <c r="K63" s="91">
        <v>8272</v>
      </c>
      <c r="L63" s="119" t="s">
        <v>133</v>
      </c>
      <c r="M63" s="130">
        <f t="shared" si="16"/>
        <v>-0.2899999999990541</v>
      </c>
      <c r="N63" s="113">
        <v>8272</v>
      </c>
      <c r="O63" s="70"/>
      <c r="P63" s="133">
        <f t="shared" si="1"/>
        <v>0</v>
      </c>
      <c r="Q63" s="70"/>
      <c r="R63" s="72"/>
      <c r="S63" s="70"/>
      <c r="T63" s="168">
        <v>8200</v>
      </c>
      <c r="U63" s="180"/>
      <c r="V63" s="70"/>
      <c r="W63" s="73"/>
      <c r="X63" s="74"/>
      <c r="Y63" s="1"/>
    </row>
    <row r="64" spans="2:25" ht="12.75">
      <c r="B64" s="99" t="s">
        <v>12</v>
      </c>
      <c r="C64" s="69" t="s">
        <v>7</v>
      </c>
      <c r="D64" s="104" t="s">
        <v>13</v>
      </c>
      <c r="E64" s="77">
        <v>1</v>
      </c>
      <c r="F64" s="78">
        <f t="shared" si="11"/>
        <v>3799</v>
      </c>
      <c r="G64" s="78">
        <f t="shared" si="12"/>
        <v>18.995</v>
      </c>
      <c r="H64" s="81">
        <f t="shared" si="13"/>
        <v>315</v>
      </c>
      <c r="I64" s="78">
        <f t="shared" si="14"/>
        <v>3.15</v>
      </c>
      <c r="J64" s="91">
        <f t="shared" si="17"/>
        <v>4136.1449999999995</v>
      </c>
      <c r="K64" s="91">
        <v>4136</v>
      </c>
      <c r="L64" s="78" t="s">
        <v>133</v>
      </c>
      <c r="M64" s="130">
        <f t="shared" si="16"/>
        <v>-0.14499999999952706</v>
      </c>
      <c r="N64" s="113">
        <v>4136</v>
      </c>
      <c r="O64" s="70"/>
      <c r="P64" s="133">
        <f t="shared" si="1"/>
        <v>0</v>
      </c>
      <c r="Q64" s="70"/>
      <c r="R64" s="72"/>
      <c r="S64" s="70"/>
      <c r="T64" s="168">
        <v>4100</v>
      </c>
      <c r="U64" s="180"/>
      <c r="V64" s="70"/>
      <c r="W64" s="73"/>
      <c r="X64" s="74"/>
      <c r="Y64" s="1"/>
    </row>
    <row r="65" spans="2:25" ht="12.75">
      <c r="B65" s="99" t="s">
        <v>137</v>
      </c>
      <c r="C65" s="69" t="s">
        <v>7</v>
      </c>
      <c r="D65" s="76" t="s">
        <v>143</v>
      </c>
      <c r="E65" s="77">
        <v>1</v>
      </c>
      <c r="F65" s="78">
        <f t="shared" si="11"/>
        <v>3799</v>
      </c>
      <c r="G65" s="78">
        <f t="shared" si="12"/>
        <v>18.995</v>
      </c>
      <c r="H65" s="81">
        <f t="shared" si="13"/>
        <v>315</v>
      </c>
      <c r="I65" s="78">
        <f t="shared" si="14"/>
        <v>3.15</v>
      </c>
      <c r="J65" s="91">
        <f t="shared" si="17"/>
        <v>4136.1449999999995</v>
      </c>
      <c r="K65" s="91">
        <v>4200</v>
      </c>
      <c r="L65" s="78" t="s">
        <v>133</v>
      </c>
      <c r="M65" s="130">
        <f t="shared" si="16"/>
        <v>63.85500000000047</v>
      </c>
      <c r="N65" s="113">
        <v>1800</v>
      </c>
      <c r="O65" s="70"/>
      <c r="P65" s="133">
        <f t="shared" si="1"/>
        <v>-2400</v>
      </c>
      <c r="Q65" s="70"/>
      <c r="R65" s="72"/>
      <c r="S65" s="70"/>
      <c r="T65" s="168">
        <v>1800</v>
      </c>
      <c r="U65" s="180"/>
      <c r="V65" s="70"/>
      <c r="W65" s="73"/>
      <c r="X65" s="74"/>
      <c r="Y65" s="1"/>
    </row>
    <row r="66" spans="2:25" ht="12.75">
      <c r="B66" s="99" t="s">
        <v>138</v>
      </c>
      <c r="C66" s="136" t="s">
        <v>7</v>
      </c>
      <c r="D66" s="76" t="s">
        <v>14</v>
      </c>
      <c r="E66" s="77">
        <v>1</v>
      </c>
      <c r="F66" s="78">
        <f t="shared" si="11"/>
        <v>3799</v>
      </c>
      <c r="G66" s="78">
        <f t="shared" si="12"/>
        <v>18.995</v>
      </c>
      <c r="H66" s="81">
        <f t="shared" si="13"/>
        <v>315</v>
      </c>
      <c r="I66" s="78">
        <f t="shared" si="14"/>
        <v>3.15</v>
      </c>
      <c r="J66" s="91">
        <f>E66*(F66+G66+H66+I66)</f>
        <v>4136.1449999999995</v>
      </c>
      <c r="K66" s="91">
        <v>4200</v>
      </c>
      <c r="L66" s="78" t="s">
        <v>133</v>
      </c>
      <c r="M66" s="130">
        <f t="shared" si="16"/>
        <v>63.85500000000047</v>
      </c>
      <c r="N66" s="113">
        <v>4200</v>
      </c>
      <c r="O66" s="70"/>
      <c r="P66" s="133">
        <f t="shared" si="1"/>
        <v>0</v>
      </c>
      <c r="Q66" s="70"/>
      <c r="R66" s="72"/>
      <c r="S66" s="70"/>
      <c r="T66" s="168">
        <v>4100</v>
      </c>
      <c r="U66" s="180"/>
      <c r="V66" s="70"/>
      <c r="W66" s="73"/>
      <c r="X66" s="74"/>
      <c r="Y66" s="1"/>
    </row>
    <row r="67" spans="2:25" ht="12.75">
      <c r="B67" s="99" t="s">
        <v>139</v>
      </c>
      <c r="C67" s="69" t="s">
        <v>7</v>
      </c>
      <c r="D67" s="76" t="s">
        <v>142</v>
      </c>
      <c r="E67" s="77">
        <v>0.15</v>
      </c>
      <c r="F67" s="78">
        <f>$F$4</f>
        <v>3799</v>
      </c>
      <c r="G67" s="78">
        <f>$F67*0.5/100</f>
        <v>18.995</v>
      </c>
      <c r="H67" s="81">
        <f>$H$4</f>
        <v>315</v>
      </c>
      <c r="I67" s="78">
        <f>$H67*1/100</f>
        <v>3.15</v>
      </c>
      <c r="J67" s="91">
        <f t="shared" si="17"/>
        <v>620.4217499999999</v>
      </c>
      <c r="K67" s="91">
        <v>800</v>
      </c>
      <c r="L67" s="119" t="s">
        <v>133</v>
      </c>
      <c r="M67" s="130">
        <f t="shared" si="16"/>
        <v>179.57825000000014</v>
      </c>
      <c r="N67" s="113">
        <v>800</v>
      </c>
      <c r="O67" s="70"/>
      <c r="P67" s="133">
        <f t="shared" si="1"/>
        <v>0</v>
      </c>
      <c r="Q67" s="70"/>
      <c r="R67" s="72"/>
      <c r="S67" s="70"/>
      <c r="T67" s="168">
        <v>800</v>
      </c>
      <c r="U67" s="180"/>
      <c r="V67" s="70"/>
      <c r="W67" s="73"/>
      <c r="X67" s="74"/>
      <c r="Y67" s="1"/>
    </row>
    <row r="68" spans="2:25" ht="12.75">
      <c r="B68" s="99" t="s">
        <v>141</v>
      </c>
      <c r="C68" s="69"/>
      <c r="D68" s="76" t="s">
        <v>140</v>
      </c>
      <c r="E68" s="77">
        <v>0.1</v>
      </c>
      <c r="F68" s="78">
        <f>$F$4</f>
        <v>3799</v>
      </c>
      <c r="G68" s="78">
        <f>$F68*0.5/100</f>
        <v>18.995</v>
      </c>
      <c r="H68" s="81">
        <f>$H$4</f>
        <v>315</v>
      </c>
      <c r="I68" s="78">
        <f>$H68*1/100</f>
        <v>3.15</v>
      </c>
      <c r="J68" s="91">
        <f>E68*(F68+G68+H68+I68)</f>
        <v>413.61449999999996</v>
      </c>
      <c r="K68" s="91">
        <v>280</v>
      </c>
      <c r="L68" s="119" t="s">
        <v>133</v>
      </c>
      <c r="M68" s="130">
        <f t="shared" si="16"/>
        <v>-133.61449999999996</v>
      </c>
      <c r="N68" s="113">
        <v>280</v>
      </c>
      <c r="O68" s="70"/>
      <c r="P68" s="133">
        <f t="shared" si="1"/>
        <v>0</v>
      </c>
      <c r="Q68" s="70"/>
      <c r="R68" s="72"/>
      <c r="S68" s="70"/>
      <c r="T68" s="168">
        <v>140</v>
      </c>
      <c r="U68" s="180"/>
      <c r="V68" s="70"/>
      <c r="W68" s="73"/>
      <c r="X68" s="74"/>
      <c r="Y68" s="1"/>
    </row>
    <row r="69" spans="2:25" ht="12.75">
      <c r="B69" s="99" t="s">
        <v>15</v>
      </c>
      <c r="C69" s="69"/>
      <c r="D69" s="105"/>
      <c r="E69" s="77">
        <v>1</v>
      </c>
      <c r="F69" s="78">
        <f>$F$4</f>
        <v>3799</v>
      </c>
      <c r="G69" s="78">
        <f>$F69*0.5/100</f>
        <v>18.995</v>
      </c>
      <c r="H69" s="81">
        <f>$H$4</f>
        <v>315</v>
      </c>
      <c r="I69" s="78">
        <f>$H69*1/100</f>
        <v>3.15</v>
      </c>
      <c r="J69" s="91">
        <f t="shared" si="17"/>
        <v>4136.1449999999995</v>
      </c>
      <c r="K69" s="91">
        <v>4250</v>
      </c>
      <c r="L69" s="78" t="s">
        <v>133</v>
      </c>
      <c r="M69" s="130">
        <f t="shared" si="16"/>
        <v>113.85500000000047</v>
      </c>
      <c r="N69" s="70">
        <v>4250</v>
      </c>
      <c r="O69" s="70"/>
      <c r="P69" s="133">
        <f t="shared" si="1"/>
        <v>0</v>
      </c>
      <c r="Q69" s="70"/>
      <c r="R69" s="72"/>
      <c r="S69" s="70"/>
      <c r="T69" s="168">
        <v>3950</v>
      </c>
      <c r="U69" s="180"/>
      <c r="V69" s="70"/>
      <c r="W69" s="73"/>
      <c r="X69" s="74"/>
      <c r="Y69" s="1"/>
    </row>
    <row r="70" spans="2:25" ht="12.75">
      <c r="B70" s="99" t="s">
        <v>16</v>
      </c>
      <c r="C70" s="69"/>
      <c r="D70" s="105"/>
      <c r="E70" s="77">
        <v>1</v>
      </c>
      <c r="F70" s="78">
        <f>$F$4</f>
        <v>3799</v>
      </c>
      <c r="G70" s="78">
        <f>$F70*0.5/100</f>
        <v>18.995</v>
      </c>
      <c r="H70" s="81">
        <f>$H$4</f>
        <v>315</v>
      </c>
      <c r="I70" s="78">
        <f>$H70*1/100</f>
        <v>3.15</v>
      </c>
      <c r="J70" s="91">
        <f t="shared" si="17"/>
        <v>4136.1449999999995</v>
      </c>
      <c r="K70" s="91">
        <v>4273</v>
      </c>
      <c r="L70" s="78" t="s">
        <v>133</v>
      </c>
      <c r="M70" s="130">
        <f t="shared" si="16"/>
        <v>136.85500000000047</v>
      </c>
      <c r="N70" s="70">
        <v>4273</v>
      </c>
      <c r="O70" s="70"/>
      <c r="P70" s="133">
        <f t="shared" si="1"/>
        <v>0</v>
      </c>
      <c r="Q70" s="70"/>
      <c r="R70" s="72"/>
      <c r="S70" s="70"/>
      <c r="T70" s="168">
        <v>4000</v>
      </c>
      <c r="U70" s="191">
        <v>-100</v>
      </c>
      <c r="V70" s="70"/>
      <c r="W70" s="73"/>
      <c r="X70" s="74"/>
      <c r="Y70" s="1"/>
    </row>
    <row r="71" spans="1:25" s="36" customFormat="1" ht="12.75">
      <c r="A71" s="66" t="s">
        <v>163</v>
      </c>
      <c r="B71" s="30"/>
      <c r="C71" s="30"/>
      <c r="D71" s="63"/>
      <c r="E71" s="67"/>
      <c r="F71" s="64"/>
      <c r="G71" s="64"/>
      <c r="H71" s="65"/>
      <c r="I71" s="64"/>
      <c r="J71" s="122"/>
      <c r="K71" s="32"/>
      <c r="L71" s="31"/>
      <c r="M71" s="134"/>
      <c r="N71" s="31"/>
      <c r="O71" s="31"/>
      <c r="P71" s="135"/>
      <c r="Q71" s="31"/>
      <c r="R71" s="41"/>
      <c r="S71" s="31"/>
      <c r="T71" s="31"/>
      <c r="U71" s="175"/>
      <c r="V71" s="68"/>
      <c r="W71" s="33"/>
      <c r="X71" s="34"/>
      <c r="Y71" s="35"/>
    </row>
    <row r="72" spans="2:25" s="59" customFormat="1" ht="12.75">
      <c r="B72" s="165" t="s">
        <v>166</v>
      </c>
      <c r="C72" s="92"/>
      <c r="D72" s="105"/>
      <c r="E72" s="77">
        <v>1</v>
      </c>
      <c r="F72" s="78">
        <f>3482</f>
        <v>3482</v>
      </c>
      <c r="G72" s="78">
        <f>$F72*0.5/100</f>
        <v>17.41</v>
      </c>
      <c r="H72" s="81">
        <f>274</f>
        <v>274</v>
      </c>
      <c r="I72" s="78">
        <f>$H72*1/100</f>
        <v>2.74</v>
      </c>
      <c r="J72" s="91">
        <f>E72*(F72+G72+H72+I72)</f>
        <v>3776.1499999999996</v>
      </c>
      <c r="K72" s="108"/>
      <c r="L72" s="51"/>
      <c r="M72" s="131"/>
      <c r="N72" s="51"/>
      <c r="O72" s="51"/>
      <c r="P72" s="131"/>
      <c r="Q72" s="51"/>
      <c r="R72" s="115"/>
      <c r="S72" s="51"/>
      <c r="T72" s="51"/>
      <c r="U72" s="177"/>
      <c r="V72" s="51"/>
      <c r="W72" s="116"/>
      <c r="X72" s="140"/>
      <c r="Y72" s="60"/>
    </row>
    <row r="73" spans="2:25" s="59" customFormat="1" ht="12.75">
      <c r="B73" s="167" t="s">
        <v>164</v>
      </c>
      <c r="C73" s="157"/>
      <c r="D73" s="158"/>
      <c r="E73" s="159">
        <v>2</v>
      </c>
      <c r="F73" s="160">
        <f>3482</f>
        <v>3482</v>
      </c>
      <c r="G73" s="160">
        <f>$F73*0.5/100</f>
        <v>17.41</v>
      </c>
      <c r="H73" s="161">
        <f>274</f>
        <v>274</v>
      </c>
      <c r="I73" s="160">
        <f>$H73*1/100</f>
        <v>2.74</v>
      </c>
      <c r="J73" s="162">
        <f>E73*(F73+G73+H73+I73)</f>
        <v>7552.299999999999</v>
      </c>
      <c r="K73" s="108"/>
      <c r="L73" s="164"/>
      <c r="M73" s="131"/>
      <c r="N73" s="51"/>
      <c r="O73" s="51"/>
      <c r="P73" s="131"/>
      <c r="Q73" s="51"/>
      <c r="R73" s="115"/>
      <c r="S73" s="51"/>
      <c r="T73" s="51"/>
      <c r="U73" s="177"/>
      <c r="V73" s="51"/>
      <c r="W73" s="116"/>
      <c r="X73" s="140"/>
      <c r="Y73" s="60"/>
    </row>
    <row r="74" spans="2:25" s="59" customFormat="1" ht="12.75">
      <c r="B74" s="165" t="s">
        <v>165</v>
      </c>
      <c r="C74" s="92"/>
      <c r="D74" s="105"/>
      <c r="E74" s="77">
        <v>2</v>
      </c>
      <c r="F74" s="78">
        <f>3482</f>
        <v>3482</v>
      </c>
      <c r="G74" s="78">
        <f>$F74*0.5/100</f>
        <v>17.41</v>
      </c>
      <c r="H74" s="81">
        <f>274</f>
        <v>274</v>
      </c>
      <c r="I74" s="78">
        <f>$H74*1/100</f>
        <v>2.74</v>
      </c>
      <c r="J74" s="91">
        <f>E74*(F74+G74+H74+I74)</f>
        <v>7552.299999999999</v>
      </c>
      <c r="K74" s="94"/>
      <c r="L74" s="51"/>
      <c r="M74" s="131"/>
      <c r="N74" s="51"/>
      <c r="O74" s="51"/>
      <c r="P74" s="131"/>
      <c r="Q74" s="51"/>
      <c r="R74" s="115"/>
      <c r="S74" s="51"/>
      <c r="T74" s="51"/>
      <c r="U74" s="177"/>
      <c r="V74" s="51"/>
      <c r="W74" s="116"/>
      <c r="X74" s="140"/>
      <c r="Y74" s="60"/>
    </row>
    <row r="75" spans="2:25" s="59" customFormat="1" ht="12.75">
      <c r="B75" s="165" t="s">
        <v>167</v>
      </c>
      <c r="C75" s="92"/>
      <c r="D75" s="105"/>
      <c r="E75" s="163">
        <v>1</v>
      </c>
      <c r="F75" s="88" t="s">
        <v>50</v>
      </c>
      <c r="G75" s="88"/>
      <c r="H75" s="86"/>
      <c r="I75" s="88"/>
      <c r="J75" s="94" t="s">
        <v>50</v>
      </c>
      <c r="K75" s="94"/>
      <c r="L75" s="51"/>
      <c r="M75" s="131"/>
      <c r="N75" s="51"/>
      <c r="O75" s="51"/>
      <c r="P75" s="131"/>
      <c r="Q75" s="51"/>
      <c r="R75" s="115"/>
      <c r="S75" s="51"/>
      <c r="T75" s="51"/>
      <c r="U75" s="177"/>
      <c r="V75" s="51"/>
      <c r="W75" s="116"/>
      <c r="X75" s="140"/>
      <c r="Y75" s="60"/>
    </row>
    <row r="76" spans="1:25" s="36" customFormat="1" ht="12.75">
      <c r="A76" s="66" t="s">
        <v>93</v>
      </c>
      <c r="B76" s="30"/>
      <c r="C76" s="30"/>
      <c r="D76" s="63"/>
      <c r="E76" s="67"/>
      <c r="F76" s="64"/>
      <c r="G76" s="64"/>
      <c r="H76" s="65"/>
      <c r="I76" s="64"/>
      <c r="J76" s="122"/>
      <c r="K76" s="32"/>
      <c r="L76" s="31"/>
      <c r="M76" s="134"/>
      <c r="N76" s="31"/>
      <c r="O76" s="31"/>
      <c r="P76" s="135"/>
      <c r="Q76" s="31"/>
      <c r="R76" s="41"/>
      <c r="S76" s="31"/>
      <c r="T76" s="31"/>
      <c r="U76" s="175"/>
      <c r="V76" s="68"/>
      <c r="W76" s="33"/>
      <c r="X76" s="34"/>
      <c r="Y76" s="35"/>
    </row>
    <row r="77" spans="1:25" ht="12.75">
      <c r="A77" s="82"/>
      <c r="B77" s="151" t="s">
        <v>92</v>
      </c>
      <c r="C77" s="75"/>
      <c r="D77" s="85"/>
      <c r="E77" s="89">
        <v>1</v>
      </c>
      <c r="F77" s="88"/>
      <c r="G77" s="88"/>
      <c r="H77" s="81">
        <f>$H$4</f>
        <v>315</v>
      </c>
      <c r="I77" s="78">
        <f>$H77*1/100</f>
        <v>3.15</v>
      </c>
      <c r="J77" s="91">
        <f>E77*(F77+G77+H77+I77)</f>
        <v>318.15</v>
      </c>
      <c r="K77" s="71"/>
      <c r="L77" s="70"/>
      <c r="M77" s="130">
        <f>-J77+K77</f>
        <v>-318.15</v>
      </c>
      <c r="N77" s="70"/>
      <c r="O77" s="70"/>
      <c r="P77" s="70"/>
      <c r="Q77" s="70"/>
      <c r="R77" s="72"/>
      <c r="S77" s="70"/>
      <c r="T77" s="70"/>
      <c r="U77" s="172"/>
      <c r="V77" s="90"/>
      <c r="W77" s="73"/>
      <c r="X77" s="74"/>
      <c r="Y77" s="1"/>
    </row>
    <row r="78" spans="1:37" s="59" customFormat="1" ht="12.75">
      <c r="A78" s="87"/>
      <c r="B78" s="151" t="s">
        <v>94</v>
      </c>
      <c r="C78" s="92"/>
      <c r="D78" s="87"/>
      <c r="E78" s="93"/>
      <c r="F78" s="88"/>
      <c r="G78" s="88"/>
      <c r="H78" s="86"/>
      <c r="I78" s="88"/>
      <c r="J78" s="94"/>
      <c r="K78" s="94"/>
      <c r="L78" s="88"/>
      <c r="M78" s="130"/>
      <c r="N78" s="88"/>
      <c r="O78" s="88"/>
      <c r="P78" s="70"/>
      <c r="Q78" s="88"/>
      <c r="R78" s="95"/>
      <c r="S78" s="88"/>
      <c r="T78" s="88"/>
      <c r="U78" s="173"/>
      <c r="V78" s="96"/>
      <c r="W78" s="97"/>
      <c r="X78" s="98"/>
      <c r="Y78" s="60"/>
      <c r="AK78" s="29"/>
    </row>
    <row r="79" spans="1:25" s="59" customFormat="1" ht="12.75">
      <c r="A79" s="87"/>
      <c r="B79" s="151" t="s">
        <v>95</v>
      </c>
      <c r="C79" s="92"/>
      <c r="D79" s="87"/>
      <c r="E79" s="93"/>
      <c r="F79" s="88"/>
      <c r="G79" s="88"/>
      <c r="H79" s="86"/>
      <c r="I79" s="88"/>
      <c r="J79" s="94"/>
      <c r="K79" s="94"/>
      <c r="L79" s="88"/>
      <c r="M79" s="130"/>
      <c r="N79" s="88"/>
      <c r="O79" s="88"/>
      <c r="P79" s="70"/>
      <c r="Q79" s="88"/>
      <c r="R79" s="95"/>
      <c r="S79" s="88"/>
      <c r="T79" s="88"/>
      <c r="U79" s="173"/>
      <c r="V79" s="96"/>
      <c r="W79" s="97"/>
      <c r="X79" s="98"/>
      <c r="Y79" s="60"/>
    </row>
    <row r="80" spans="1:25" s="59" customFormat="1" ht="12.75">
      <c r="A80" s="87"/>
      <c r="B80" s="151" t="s">
        <v>99</v>
      </c>
      <c r="C80" s="92"/>
      <c r="D80" s="87"/>
      <c r="E80" s="93"/>
      <c r="F80" s="88"/>
      <c r="G80" s="88"/>
      <c r="H80" s="86"/>
      <c r="I80" s="88"/>
      <c r="J80" s="94"/>
      <c r="K80" s="94"/>
      <c r="L80" s="88"/>
      <c r="M80" s="130"/>
      <c r="N80" s="88"/>
      <c r="O80" s="88"/>
      <c r="P80" s="70"/>
      <c r="Q80" s="88"/>
      <c r="R80" s="95"/>
      <c r="S80" s="88"/>
      <c r="T80" s="88"/>
      <c r="U80" s="173"/>
      <c r="V80" s="96"/>
      <c r="W80" s="97"/>
      <c r="X80" s="98"/>
      <c r="Y80" s="60"/>
    </row>
    <row r="81" spans="1:25" ht="13.5" thickBot="1">
      <c r="A81" s="24"/>
      <c r="B81" s="27" t="s">
        <v>2</v>
      </c>
      <c r="C81" s="27"/>
      <c r="D81" s="27"/>
      <c r="E81" s="27"/>
      <c r="F81" s="27"/>
      <c r="G81" s="27"/>
      <c r="H81" s="17"/>
      <c r="I81" s="21"/>
      <c r="J81" s="23"/>
      <c r="K81" s="23"/>
      <c r="L81" s="21" t="e">
        <f>#REF!</f>
        <v>#REF!</v>
      </c>
      <c r="M81" s="129"/>
      <c r="N81" s="21"/>
      <c r="O81" s="21"/>
      <c r="P81" s="21"/>
      <c r="Q81" s="21"/>
      <c r="R81" s="17"/>
      <c r="S81" s="21"/>
      <c r="T81" s="21"/>
      <c r="U81" s="185"/>
      <c r="V81" s="21"/>
      <c r="W81" s="22"/>
      <c r="X81" s="7"/>
      <c r="Y81" s="1"/>
    </row>
    <row r="82" spans="1:25" ht="12.75">
      <c r="A82" s="24"/>
      <c r="Y82" s="1"/>
    </row>
    <row r="83" spans="2:25" s="2" customFormat="1" ht="12.75">
      <c r="B83"/>
      <c r="C83"/>
      <c r="D83"/>
      <c r="E83"/>
      <c r="F83"/>
      <c r="G83"/>
      <c r="H83" s="12"/>
      <c r="I83" s="12"/>
      <c r="J83" s="14"/>
      <c r="K83" s="14"/>
      <c r="L83" s="12"/>
      <c r="M83" s="128"/>
      <c r="N83" s="12"/>
      <c r="O83" s="12"/>
      <c r="P83" s="12"/>
      <c r="Q83" s="12"/>
      <c r="R83" s="42"/>
      <c r="S83" s="12"/>
      <c r="T83" s="12"/>
      <c r="U83" s="187"/>
      <c r="V83" s="12"/>
      <c r="W83" s="1"/>
      <c r="X83" s="5"/>
      <c r="Y83" s="3"/>
    </row>
    <row r="84" ht="12.75">
      <c r="Y84" s="1"/>
    </row>
    <row r="85" ht="12.75">
      <c r="Y85" s="1"/>
    </row>
    <row r="86" ht="12.75">
      <c r="Y86" s="1"/>
    </row>
    <row r="87" spans="4:25" ht="12.75">
      <c r="D87" s="28"/>
      <c r="E87" s="28"/>
      <c r="F87" s="28"/>
      <c r="G87" s="28"/>
      <c r="Y87" s="1"/>
    </row>
    <row r="88" spans="2:25" s="2" customFormat="1" ht="12.75">
      <c r="B88"/>
      <c r="C88"/>
      <c r="D88"/>
      <c r="E88"/>
      <c r="F88"/>
      <c r="G88"/>
      <c r="H88" s="11"/>
      <c r="I88" s="12"/>
      <c r="J88" s="14"/>
      <c r="K88" s="13"/>
      <c r="L88" s="11"/>
      <c r="M88" s="128"/>
      <c r="N88" s="11"/>
      <c r="O88" s="11"/>
      <c r="P88" s="11"/>
      <c r="Q88" s="11"/>
      <c r="R88" s="42"/>
      <c r="S88" s="11"/>
      <c r="T88" s="11"/>
      <c r="U88" s="186"/>
      <c r="V88" s="11"/>
      <c r="W88"/>
      <c r="X88" s="4"/>
      <c r="Y88" s="3"/>
    </row>
    <row r="89" ht="12.75">
      <c r="Y89" s="1"/>
    </row>
    <row r="90" ht="12.75">
      <c r="Y90" s="1"/>
    </row>
    <row r="91" ht="12.75">
      <c r="Y91" s="1"/>
    </row>
    <row r="92" ht="12.75">
      <c r="Y92" s="1"/>
    </row>
    <row r="93" ht="12.75">
      <c r="Y93" s="1"/>
    </row>
    <row r="94" ht="12.75">
      <c r="Y94" s="1"/>
    </row>
    <row r="95" ht="12.75">
      <c r="Y95" s="1"/>
    </row>
    <row r="96" ht="12.75">
      <c r="Y96" s="1"/>
    </row>
    <row r="97" ht="12.75">
      <c r="Y97" s="1"/>
    </row>
    <row r="98" ht="12.75">
      <c r="Y98" s="1"/>
    </row>
    <row r="99" ht="12.75">
      <c r="Y99" s="1"/>
    </row>
    <row r="100" ht="12.75">
      <c r="Y100" s="1"/>
    </row>
    <row r="101" ht="12.75">
      <c r="Y101" s="1"/>
    </row>
    <row r="102" spans="2:25" s="2" customFormat="1" ht="12.75">
      <c r="B102"/>
      <c r="C102"/>
      <c r="D102"/>
      <c r="E102"/>
      <c r="F102"/>
      <c r="G102"/>
      <c r="H102" s="11"/>
      <c r="I102" s="12"/>
      <c r="J102" s="14"/>
      <c r="K102" s="13"/>
      <c r="L102" s="11"/>
      <c r="M102" s="128"/>
      <c r="N102" s="11"/>
      <c r="O102" s="11"/>
      <c r="P102" s="11"/>
      <c r="Q102" s="11"/>
      <c r="R102" s="42"/>
      <c r="S102" s="11"/>
      <c r="T102" s="11"/>
      <c r="U102" s="186"/>
      <c r="V102" s="11"/>
      <c r="W102"/>
      <c r="X102" s="4"/>
      <c r="Y102" s="3"/>
    </row>
    <row r="103" ht="12.75">
      <c r="Y103" s="1"/>
    </row>
    <row r="104" ht="12.75">
      <c r="Y104" s="1"/>
    </row>
    <row r="105" ht="12.75">
      <c r="Y105" s="1"/>
    </row>
    <row r="106" ht="12.75">
      <c r="Y106" s="1"/>
    </row>
    <row r="107" ht="12.75">
      <c r="Y107" s="1"/>
    </row>
    <row r="108" ht="12.75">
      <c r="Y108" s="1"/>
    </row>
    <row r="109" ht="12.75">
      <c r="Y109" s="1"/>
    </row>
    <row r="110" ht="12.75">
      <c r="Y110" s="1"/>
    </row>
    <row r="111" ht="12.75">
      <c r="Y111" s="1"/>
    </row>
    <row r="112" ht="12.75">
      <c r="Y112" s="1"/>
    </row>
    <row r="113" ht="12.75">
      <c r="Y113" s="1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74" r:id="rId3"/>
  <colBreaks count="3" manualBreakCount="3">
    <brk id="20" max="77" man="1"/>
    <brk id="21" max="80" man="1"/>
    <brk id="24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2005-12-01T07:41:13Z</cp:lastPrinted>
  <dcterms:created xsi:type="dcterms:W3CDTF">2005-04-30T08:59:53Z</dcterms:created>
  <dcterms:modified xsi:type="dcterms:W3CDTF">2005-12-01T16:52:05Z</dcterms:modified>
  <cp:category/>
  <cp:version/>
  <cp:contentType/>
  <cp:contentStatus/>
</cp:coreProperties>
</file>