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 " sheetId="1" r:id="rId1"/>
    <sheet name="sheet" sheetId="2" r:id="rId2"/>
    <sheet name="Time to sending" sheetId="3" r:id="rId3"/>
    <sheet name="Spacers" sheetId="4" r:id="rId4"/>
  </sheets>
  <definedNames>
    <definedName name="_xlnm.Print_Area" localSheetId="0">'BLM chambers '!$A$1:$AE$87</definedName>
    <definedName name="_xlnm.Print_Area" localSheetId="1">'sheet'!$A$1:$W$79</definedName>
    <definedName name="Z_1E92D746_8DA4_46FE_A015_5B53E5097C4F_.wvu.PrintArea" localSheetId="1" hidden="1">'sheet'!$A$1:$AK$80</definedName>
    <definedName name="Z_63DF7B8E_55FC_4540_9521_9B1B7D3BF258_.wvu.PrintArea" localSheetId="1" hidden="1">'sheet'!$X$17</definedName>
    <definedName name="Z_D1CD6718_E2E1_4B10_85C2_94715777E867_.wvu.PrintArea" localSheetId="1" hidden="1">'sheet'!$A$1:$W$79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O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O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M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M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O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O18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O2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R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T3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T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T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A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T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C3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O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3986+
1025+
(6 spare washers)
</t>
        </r>
        <r>
          <rPr>
            <sz val="10"/>
            <rFont val="Arial"/>
            <family val="0"/>
          </rPr>
          <t xml:space="preserve">eholzer: wrong value
correct value: 7406
</t>
        </r>
        <r>
          <rPr>
            <sz val="10"/>
            <rFont val="Arial"/>
            <family val="0"/>
          </rPr>
          <t xml:space="preserve">
</t>
        </r>
      </text>
    </comment>
    <comment ref="O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O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O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T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5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W5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6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W5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W6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W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E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I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E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I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E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I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V1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Z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Z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Z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Z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150 - cleaning in CERN and OK
100(-6) - cleaning in UK and must rewelding!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Z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Claudine info 5.05
</t>
        </r>
      </text>
    </comment>
    <comment ref="AE3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N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take in account Italy
</t>
        </r>
      </text>
    </comment>
    <comment ref="N4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N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</commentList>
</comments>
</file>

<file path=xl/sharedStrings.xml><?xml version="1.0" encoding="utf-8"?>
<sst xmlns="http://schemas.openxmlformats.org/spreadsheetml/2006/main" count="507" uniqueCount="312">
  <si>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</si>
  <si>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</si>
  <si>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</si>
  <si>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</si>
  <si>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</si>
  <si>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</si>
  <si>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</si>
  <si>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</si>
  <si>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</si>
  <si>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</si>
  <si>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</si>
  <si>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</si>
  <si>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</si>
  <si>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</si>
  <si>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</si>
  <si>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</si>
  <si>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</si>
  <si>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</si>
  <si>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</si>
  <si>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</si>
  <si>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</si>
  <si>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</si>
  <si>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</si>
  <si>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</si>
  <si>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</si>
  <si>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</si>
  <si>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</si>
  <si>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</si>
  <si>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</si>
  <si>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</si>
  <si>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</si>
  <si>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</si>
  <si>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</si>
  <si>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</si>
  <si>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</si>
  <si>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</si>
  <si>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</si>
  <si>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</si>
  <si>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</si>
  <si>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</si>
  <si>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</si>
  <si>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</si>
  <si>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</si>
  <si>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</si>
  <si>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</si>
  <si>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</si>
  <si>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</si>
  <si>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</si>
  <si>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</si>
  <si>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</si>
  <si>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</si>
  <si>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</si>
  <si>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</si>
  <si>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</si>
  <si>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</si>
  <si>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</si>
  <si>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</si>
  <si>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</si>
  <si>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</si>
  <si>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</si>
  <si>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LEGENDE: blue background means entered or checked by EBH, grey letters means: obsolete, deleted by EBH, grey backround means: cannot be checked by EBH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</si>
  <si>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</si>
  <si>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</si>
  <si>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</si>
  <si>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</si>
  <si>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</si>
  <si>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</si>
  <si>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</si>
  <si>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</si>
  <si>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</si>
  <si>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</si>
  <si>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</si>
  <si>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</si>
  <si>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</si>
  <si>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</si>
  <si>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</si>
  <si>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</si>
  <si>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</si>
  <si>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</si>
  <si>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</si>
  <si>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</si>
  <si>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</si>
  <si>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</si>
  <si>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</si>
  <si>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</si>
  <si>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</si>
  <si>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</si>
  <si>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</si>
  <si>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</si>
  <si>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</si>
  <si>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</si>
  <si>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</si>
  <si>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</si>
  <si>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</si>
  <si>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</si>
  <si>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</si>
  <si>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</si>
  <si>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</si>
  <si>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</si>
  <si>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</si>
  <si>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</si>
  <si>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</si>
  <si>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</si>
  <si>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</si>
  <si>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</si>
  <si>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</si>
  <si>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</si>
  <si>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</si>
  <si>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</si>
  <si>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</si>
  <si>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</si>
  <si>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</si>
  <si>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</si>
  <si>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</si>
  <si>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</si>
  <si>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</si>
  <si>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</si>
  <si>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</si>
  <si>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</si>
  <si>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</si>
  <si>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</si>
  <si>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</si>
  <si>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07.12.2005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</si>
  <si>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</si>
  <si>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</si>
  <si>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</si>
  <si>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</si>
  <si>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</si>
  <si>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</si>
  <si>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</si>
  <si>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</si>
  <si>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to be shippied Protvino06</t>
  </si>
  <si>
    <t>shipped to Protvino 2005</t>
  </si>
  <si>
    <t>latest delivery schedule</t>
  </si>
  <si>
    <t xml:space="preserve"> date of receiving first/next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</si>
  <si>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</si>
  <si>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</si>
  <si>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</si>
  <si>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</si>
  <si>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</si>
  <si>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</si>
  <si>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</si>
  <si>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</si>
  <si>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</si>
  <si>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</si>
  <si>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</si>
  <si>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</si>
  <si>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</si>
  <si>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</si>
  <si>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</si>
  <si>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</si>
  <si>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</si>
  <si>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</si>
  <si>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</si>
  <si>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</si>
  <si>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</si>
  <si>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</si>
  <si>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</si>
  <si>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</si>
  <si>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</si>
  <si>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</si>
  <si>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</si>
  <si>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</si>
  <si>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</si>
  <si>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</si>
  <si>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</si>
  <si>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Al electrodes production LHCBLM__0004 0.5X82, </t>
    </r>
    <r>
      <rPr>
        <b/>
        <sz val="10"/>
        <rFont val="Arial"/>
        <family val="2"/>
      </rPr>
      <t>SEM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</si>
  <si>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</si>
  <si>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</si>
  <si>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</si>
  <si>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</si>
  <si>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nut M4-A4 ISO4032</t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</si>
  <si>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</si>
  <si>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</si>
  <si>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</si>
  <si>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</si>
  <si>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</si>
  <si>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</si>
  <si>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</si>
  <si>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</si>
  <si>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all arrived</t>
  </si>
  <si>
    <t>see next page</t>
  </si>
  <si>
    <t>98-6.3.,900-15.3.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</si>
  <si>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</si>
  <si>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</si>
  <si>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</si>
  <si>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</si>
  <si>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</si>
  <si>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</si>
  <si>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</si>
  <si>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</si>
  <si>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</si>
  <si>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</si>
  <si>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</si>
  <si>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</si>
  <si>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</si>
  <si>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</si>
  <si>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</si>
  <si>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</si>
  <si>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</si>
  <si>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</si>
  <si>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shipped to Protvino / IC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</si>
  <si>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</si>
  <si>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</si>
  <si>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</si>
  <si>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</si>
  <si>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</si>
  <si>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</si>
  <si>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</si>
  <si>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</si>
  <si>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</si>
  <si>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</si>
  <si>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</si>
  <si>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</si>
  <si>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</si>
  <si>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</si>
  <si>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</si>
  <si>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</si>
  <si>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</si>
  <si>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</si>
  <si>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</si>
  <si>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</si>
  <si>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</si>
  <si>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</si>
  <si>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</si>
  <si>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</si>
  <si>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</si>
  <si>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</si>
  <si>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</si>
  <si>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</si>
  <si>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</si>
  <si>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</si>
  <si>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</si>
  <si>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</si>
  <si>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</si>
  <si>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</si>
  <si>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</si>
  <si>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</si>
  <si>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</si>
  <si>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</si>
  <si>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</si>
  <si>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</si>
  <si>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</si>
  <si>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</si>
  <si>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</si>
  <si>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</si>
  <si>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</si>
  <si>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</si>
  <si>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</si>
  <si>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</si>
  <si>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</si>
  <si>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42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</si>
  <si>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</si>
  <si>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</si>
  <si>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</si>
  <si>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</si>
  <si>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</si>
  <si>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</si>
  <si>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</si>
  <si>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</si>
  <si>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</si>
  <si>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</si>
  <si>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</si>
  <si>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</si>
  <si>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</si>
  <si>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total needed quantity Protvino</t>
  </si>
  <si>
    <t>3749+19</t>
  </si>
  <si>
    <t>156</t>
  </si>
  <si>
    <t>119</t>
  </si>
  <si>
    <t>0</t>
  </si>
  <si>
    <t>shipped to Protvino ALL</t>
  </si>
  <si>
    <t xml:space="preserve">In PROTVINO 3759+19=3778 IC </t>
  </si>
  <si>
    <t>10th delivry</t>
  </si>
  <si>
    <t>14.3.2006</t>
  </si>
  <si>
    <t>11th delivery</t>
  </si>
  <si>
    <t>30.03.2006</t>
  </si>
  <si>
    <t>March:</t>
  </si>
  <si>
    <t>N + GSNC?</t>
  </si>
  <si>
    <t>800</t>
  </si>
  <si>
    <t>1600</t>
  </si>
  <si>
    <t>810</t>
  </si>
  <si>
    <t>2400</t>
  </si>
  <si>
    <t>2029</t>
  </si>
  <si>
    <t>168029</t>
  </si>
  <si>
    <t>2503</t>
  </si>
  <si>
    <t>5537</t>
  </si>
  <si>
    <t>4684</t>
  </si>
  <si>
    <t>10450</t>
  </si>
  <si>
    <t>200000</t>
  </si>
  <si>
    <t>12th delivery</t>
  </si>
  <si>
    <t>24.03.2006</t>
  </si>
  <si>
    <t>13th delivery</t>
  </si>
  <si>
    <t xml:space="preserve">14th delivery </t>
  </si>
  <si>
    <t>Exist in LZ - to be shipped to Protvino</t>
  </si>
  <si>
    <t>Exist in LZ after Last Shipping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</si>
  <si>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</si>
  <si>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</si>
  <si>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</si>
  <si>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</si>
  <si>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</si>
  <si>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</si>
  <si>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</si>
  <si>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</si>
  <si>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</si>
  <si>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Suimmary in Pr</t>
  </si>
  <si>
    <t>April:</t>
  </si>
  <si>
    <t>May:</t>
  </si>
  <si>
    <t>650</t>
  </si>
  <si>
    <t>shipped to Italy/IC</t>
  </si>
  <si>
    <t>Head's</t>
  </si>
  <si>
    <t>Head's - 3778</t>
  </si>
  <si>
    <t>order-needed to Protvino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</si>
</sst>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49" fontId="0" fillId="6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1" fontId="5" fillId="6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93" fontId="0" fillId="11" borderId="2" xfId="0" applyNumberFormat="1" applyFill="1" applyBorder="1" applyAlignment="1">
      <alignment horizontal="center"/>
    </xf>
    <xf numFmtId="0" fontId="11" fillId="10" borderId="2" xfId="0" applyFont="1" applyFill="1" applyBorder="1" applyAlignment="1">
      <alignment/>
    </xf>
    <xf numFmtId="1" fontId="0" fillId="12" borderId="2" xfId="0" applyNumberFormat="1" applyFill="1" applyBorder="1" applyAlignment="1">
      <alignment horizontal="center"/>
    </xf>
    <xf numFmtId="192" fontId="0" fillId="12" borderId="2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6" borderId="2" xfId="0" applyNumberFormat="1" applyFill="1" applyBorder="1" applyAlignment="1">
      <alignment horizontal="center"/>
    </xf>
    <xf numFmtId="192" fontId="0" fillId="6" borderId="2" xfId="0" applyNumberFormat="1" applyFill="1" applyBorder="1" applyAlignment="1">
      <alignment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0" fontId="0" fillId="13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1" fontId="0" fillId="7" borderId="2" xfId="0" applyNumberForma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193" fontId="4" fillId="9" borderId="2" xfId="0" applyNumberFormat="1" applyFont="1" applyFill="1" applyBorder="1" applyAlignment="1">
      <alignment horizontal="center" vertical="top" wrapText="1"/>
    </xf>
    <xf numFmtId="1" fontId="0" fillId="9" borderId="0" xfId="0" applyNumberFormat="1" applyFont="1" applyFill="1" applyBorder="1" applyAlignment="1">
      <alignment horizontal="center"/>
    </xf>
    <xf numFmtId="0" fontId="6" fillId="8" borderId="2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3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E5" sqref="E5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0" width="11.140625" style="0" customWidth="1"/>
    <col min="11" max="11" width="9.28125" style="0" bestFit="1" customWidth="1"/>
    <col min="12" max="12" width="11.8515625" style="0" customWidth="1"/>
    <col min="13" max="13" width="10.28125" style="0" bestFit="1" customWidth="1"/>
    <col min="14" max="14" width="10.28125" style="0" customWidth="1"/>
    <col min="15" max="15" width="11.57421875" style="149" customWidth="1"/>
    <col min="16" max="16" width="12.140625" style="0" customWidth="1"/>
    <col min="17" max="17" width="11.28125" style="0" customWidth="1"/>
    <col min="20" max="20" width="11.421875" style="0" customWidth="1"/>
    <col min="21" max="21" width="12.57421875" style="166" customWidth="1"/>
    <col min="22" max="22" width="13.140625" style="0" customWidth="1"/>
    <col min="23" max="23" width="11.28125" style="0" customWidth="1"/>
    <col min="24" max="24" width="12.00390625" style="0" customWidth="1"/>
    <col min="25" max="28" width="14.57421875" style="0" customWidth="1"/>
    <col min="29" max="29" width="13.57421875" style="0" customWidth="1"/>
    <col min="30" max="30" width="11.421875" style="0" customWidth="1"/>
  </cols>
  <sheetData>
    <row r="1" spans="1:32" ht="5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161" t="s">
        <v>265</v>
      </c>
      <c r="K1" s="198" t="s">
        <v>4</v>
      </c>
      <c r="L1" s="33" t="s">
        <v>29</v>
      </c>
      <c r="M1" s="38" t="s">
        <v>138</v>
      </c>
      <c r="N1" s="196" t="s">
        <v>311</v>
      </c>
      <c r="O1" s="33" t="s">
        <v>30</v>
      </c>
      <c r="P1" s="39" t="s">
        <v>134</v>
      </c>
      <c r="Q1" s="33" t="s">
        <v>247</v>
      </c>
      <c r="R1" s="40" t="s">
        <v>16</v>
      </c>
      <c r="S1" s="40" t="s">
        <v>28</v>
      </c>
      <c r="T1" s="39" t="s">
        <v>133</v>
      </c>
      <c r="U1" s="163" t="s">
        <v>248</v>
      </c>
      <c r="V1" s="163" t="s">
        <v>183</v>
      </c>
      <c r="W1" s="172" t="s">
        <v>132</v>
      </c>
      <c r="X1" s="172" t="s">
        <v>270</v>
      </c>
      <c r="Y1" s="173" t="s">
        <v>131</v>
      </c>
      <c r="Z1" s="173" t="s">
        <v>294</v>
      </c>
      <c r="AA1" s="173" t="s">
        <v>293</v>
      </c>
      <c r="AB1" s="173" t="s">
        <v>295</v>
      </c>
      <c r="AC1" s="172" t="s">
        <v>201</v>
      </c>
      <c r="AD1" s="39" t="s">
        <v>308</v>
      </c>
      <c r="AE1" s="25" t="s">
        <v>309</v>
      </c>
      <c r="AF1" t="s">
        <v>310</v>
      </c>
    </row>
    <row r="2" spans="1:31" ht="12.75">
      <c r="A2" s="41"/>
      <c r="B2" s="42" t="s">
        <v>60</v>
      </c>
      <c r="C2" s="43"/>
      <c r="D2" s="44"/>
      <c r="E2" s="44"/>
      <c r="F2" s="44"/>
      <c r="G2" s="86"/>
      <c r="H2" s="86"/>
      <c r="I2" s="46"/>
      <c r="J2" s="46"/>
      <c r="K2" s="46"/>
      <c r="L2" s="47"/>
      <c r="M2" s="48"/>
      <c r="N2" s="48"/>
      <c r="O2" s="47"/>
      <c r="P2" s="49"/>
      <c r="Q2" s="47"/>
      <c r="R2" s="50"/>
      <c r="S2" s="50"/>
      <c r="T2" s="51"/>
      <c r="U2" s="90"/>
      <c r="V2" s="51"/>
      <c r="W2" s="52"/>
      <c r="X2" s="52"/>
      <c r="Y2" s="53"/>
      <c r="Z2" s="53"/>
      <c r="AA2" s="53"/>
      <c r="AB2" s="53"/>
      <c r="AC2" s="89"/>
      <c r="AD2" s="51"/>
      <c r="AE2" s="9"/>
    </row>
    <row r="3" spans="1:31" ht="12.75">
      <c r="A3" s="178" t="s">
        <v>271</v>
      </c>
      <c r="B3" s="55"/>
      <c r="C3" s="55"/>
      <c r="D3" s="56"/>
      <c r="E3" s="56"/>
      <c r="F3" s="56"/>
      <c r="G3" s="86"/>
      <c r="H3" s="86"/>
      <c r="I3" s="57"/>
      <c r="J3" s="57" t="s">
        <v>266</v>
      </c>
      <c r="K3" s="57"/>
      <c r="L3" s="52"/>
      <c r="M3" s="58"/>
      <c r="N3" s="58"/>
      <c r="O3" s="89"/>
      <c r="P3" s="51"/>
      <c r="Q3" s="52"/>
      <c r="R3" s="50"/>
      <c r="S3" s="50"/>
      <c r="T3" s="51"/>
      <c r="U3" s="90"/>
      <c r="V3" s="51"/>
      <c r="W3" s="52"/>
      <c r="X3" s="52"/>
      <c r="Y3" s="53"/>
      <c r="Z3" s="53"/>
      <c r="AA3" s="53"/>
      <c r="AB3" s="53"/>
      <c r="AC3" s="52"/>
      <c r="AD3" s="51"/>
      <c r="AE3" s="9"/>
    </row>
    <row r="4" spans="1:31" ht="12.75">
      <c r="A4" s="59" t="s">
        <v>46</v>
      </c>
      <c r="B4" s="60"/>
      <c r="C4" s="55"/>
      <c r="D4" s="56"/>
      <c r="E4" s="45">
        <v>4100</v>
      </c>
      <c r="F4" s="45">
        <f>$E4*0.5/100</f>
        <v>20.5</v>
      </c>
      <c r="G4" s="87">
        <v>315</v>
      </c>
      <c r="H4" s="89">
        <f>$G4*1/100</f>
        <v>3.15</v>
      </c>
      <c r="I4" s="46">
        <f>E4+F4+G4+H4</f>
        <v>4438.65</v>
      </c>
      <c r="J4" s="197">
        <v>4020</v>
      </c>
      <c r="K4" s="7"/>
      <c r="L4" s="57"/>
      <c r="M4" s="52"/>
      <c r="N4" s="52"/>
      <c r="O4" s="177" t="s">
        <v>277</v>
      </c>
      <c r="P4" s="52"/>
      <c r="Q4" s="51"/>
      <c r="R4" s="50"/>
      <c r="S4" s="50"/>
      <c r="T4" s="62"/>
      <c r="U4" s="167"/>
      <c r="V4" s="62"/>
      <c r="W4" s="51"/>
      <c r="X4" s="51"/>
      <c r="Y4" s="52"/>
      <c r="Z4" s="52"/>
      <c r="AA4" s="52"/>
      <c r="AB4" s="52"/>
      <c r="AC4" s="162">
        <v>4020</v>
      </c>
      <c r="AD4" s="62"/>
      <c r="AE4" s="9"/>
    </row>
    <row r="5" spans="1:31" ht="12.75">
      <c r="A5" s="63" t="s">
        <v>63</v>
      </c>
      <c r="B5" s="64"/>
      <c r="C5" s="65"/>
      <c r="D5" s="66"/>
      <c r="E5" s="66"/>
      <c r="F5" s="66"/>
      <c r="G5" s="66"/>
      <c r="H5" s="67"/>
      <c r="I5" s="68"/>
      <c r="J5" s="68"/>
      <c r="K5" s="69"/>
      <c r="L5" s="69"/>
      <c r="M5" s="68"/>
      <c r="N5" s="68"/>
      <c r="O5" s="70"/>
      <c r="P5" s="68"/>
      <c r="Q5" s="71"/>
      <c r="R5" s="72"/>
      <c r="S5" s="72"/>
      <c r="T5" s="73"/>
      <c r="U5" s="73"/>
      <c r="V5" s="73"/>
      <c r="W5" s="71"/>
      <c r="X5" s="71"/>
      <c r="Y5" s="68"/>
      <c r="Z5" s="68"/>
      <c r="AA5" s="68"/>
      <c r="AB5" s="68"/>
      <c r="AC5" s="74"/>
      <c r="AD5" s="73"/>
      <c r="AE5" s="15"/>
    </row>
    <row r="6" spans="1:31" ht="12.75">
      <c r="A6" s="75" t="s">
        <v>160</v>
      </c>
      <c r="B6" s="43" t="s">
        <v>48</v>
      </c>
      <c r="C6" s="76" t="s">
        <v>32</v>
      </c>
      <c r="D6" s="77">
        <v>1</v>
      </c>
      <c r="E6" s="45">
        <f>$E$4</f>
        <v>4100</v>
      </c>
      <c r="F6" s="45">
        <f>$E6*0.5/100</f>
        <v>20.5</v>
      </c>
      <c r="G6" s="87"/>
      <c r="H6" s="86"/>
      <c r="I6" s="46">
        <f>D6*(E6+F6+G6+H6)</f>
        <v>4120.5</v>
      </c>
      <c r="J6" s="158">
        <f>D6*J4</f>
        <v>4020</v>
      </c>
      <c r="K6" s="78">
        <v>3800</v>
      </c>
      <c r="L6" s="47" t="s">
        <v>102</v>
      </c>
      <c r="M6" s="79">
        <f aca="true" t="shared" si="0" ref="M6:M11">-I6+K6</f>
        <v>-320.5</v>
      </c>
      <c r="N6" s="136">
        <f>-J6+K6-50*D6</f>
        <v>-270</v>
      </c>
      <c r="O6" s="98">
        <v>4133</v>
      </c>
      <c r="P6" s="51"/>
      <c r="Q6" s="182">
        <f aca="true" t="shared" si="1" ref="Q6:Q61">-I6+O6</f>
        <v>12.5</v>
      </c>
      <c r="R6" s="147" t="s">
        <v>31</v>
      </c>
      <c r="S6" s="50" t="s">
        <v>113</v>
      </c>
      <c r="T6" s="51"/>
      <c r="U6" s="164"/>
      <c r="V6" s="164" t="s">
        <v>184</v>
      </c>
      <c r="W6" s="169">
        <v>1394</v>
      </c>
      <c r="X6" s="169">
        <f>V6+W6</f>
        <v>3773</v>
      </c>
      <c r="Y6" s="154">
        <f>X6-J6</f>
        <v>-247</v>
      </c>
      <c r="Z6" s="92">
        <v>0</v>
      </c>
      <c r="AA6" s="184">
        <f>Z6+AC6</f>
        <v>3773</v>
      </c>
      <c r="AB6" s="92"/>
      <c r="AC6" s="89">
        <f>X6/D6</f>
        <v>3773</v>
      </c>
      <c r="AD6" s="90"/>
      <c r="AE6" s="9"/>
    </row>
    <row r="7" spans="1:31" s="15" customFormat="1" ht="12.75">
      <c r="A7" s="102" t="s">
        <v>161</v>
      </c>
      <c r="B7" s="84"/>
      <c r="C7" s="135" t="s">
        <v>32</v>
      </c>
      <c r="D7" s="85">
        <v>1</v>
      </c>
      <c r="E7" s="85"/>
      <c r="F7" s="85"/>
      <c r="G7" s="87">
        <f>$G$4</f>
        <v>315</v>
      </c>
      <c r="H7" s="86">
        <f>$G7*1/100</f>
        <v>3.15</v>
      </c>
      <c r="I7" s="88">
        <f>D7*(E7+F7+G7+H7)</f>
        <v>318.15</v>
      </c>
      <c r="J7" s="88"/>
      <c r="K7" s="88">
        <v>310</v>
      </c>
      <c r="L7" s="89" t="s">
        <v>102</v>
      </c>
      <c r="M7" s="136">
        <f t="shared" si="0"/>
        <v>-8.149999999999977</v>
      </c>
      <c r="N7" s="136"/>
      <c r="O7" s="89">
        <v>118</v>
      </c>
      <c r="P7" s="90"/>
      <c r="Q7" s="136">
        <f>-I7+O7</f>
        <v>-200.14999999999998</v>
      </c>
      <c r="R7" s="91" t="s">
        <v>31</v>
      </c>
      <c r="S7" s="91" t="s">
        <v>24</v>
      </c>
      <c r="T7" s="90"/>
      <c r="U7" s="90"/>
      <c r="V7" s="90"/>
      <c r="W7" s="89"/>
      <c r="X7" s="89"/>
      <c r="Y7" s="92"/>
      <c r="Z7" s="92"/>
      <c r="AA7" s="92"/>
      <c r="AB7" s="92"/>
      <c r="AC7" s="89"/>
      <c r="AD7" s="90"/>
      <c r="AE7" s="9"/>
    </row>
    <row r="8" spans="1:31" ht="12.75">
      <c r="A8" s="82" t="s">
        <v>47</v>
      </c>
      <c r="B8" s="42" t="s">
        <v>162</v>
      </c>
      <c r="C8" s="76" t="s">
        <v>32</v>
      </c>
      <c r="D8" s="44">
        <v>1</v>
      </c>
      <c r="E8" s="45">
        <f>$E$4</f>
        <v>4100</v>
      </c>
      <c r="F8" s="45">
        <f>$E8*0.5/100</f>
        <v>20.5</v>
      </c>
      <c r="G8" s="87">
        <f>$G$4</f>
        <v>315</v>
      </c>
      <c r="H8" s="86">
        <f>$G8*1/100</f>
        <v>3.15</v>
      </c>
      <c r="I8" s="46">
        <f>D8*(E8+F8+G8+H8)</f>
        <v>4438.65</v>
      </c>
      <c r="J8" s="158">
        <f>J4*D8</f>
        <v>4020</v>
      </c>
      <c r="K8" s="78">
        <v>4110</v>
      </c>
      <c r="L8" s="47" t="s">
        <v>102</v>
      </c>
      <c r="M8" s="79">
        <f t="shared" si="0"/>
        <v>-328.64999999999964</v>
      </c>
      <c r="N8" s="136">
        <f>-J8+K8-50*D8</f>
        <v>40</v>
      </c>
      <c r="O8" s="98">
        <v>4271</v>
      </c>
      <c r="P8" s="51"/>
      <c r="Q8" s="182">
        <f t="shared" si="1"/>
        <v>-167.64999999999964</v>
      </c>
      <c r="R8" s="147" t="s">
        <v>31</v>
      </c>
      <c r="S8" s="50" t="s">
        <v>113</v>
      </c>
      <c r="T8" s="51"/>
      <c r="U8" s="164"/>
      <c r="V8" s="164" t="s">
        <v>185</v>
      </c>
      <c r="W8" s="169">
        <v>1500</v>
      </c>
      <c r="X8" s="169">
        <f>V8+W8</f>
        <v>3818</v>
      </c>
      <c r="Y8" s="154">
        <f>X8-J8</f>
        <v>-202</v>
      </c>
      <c r="Z8" s="92">
        <v>0</v>
      </c>
      <c r="AA8" s="154">
        <f>Z8+Y8</f>
        <v>-202</v>
      </c>
      <c r="AB8" s="154"/>
      <c r="AC8" s="174">
        <f>X8/D8</f>
        <v>3818</v>
      </c>
      <c r="AD8" s="90"/>
      <c r="AE8" s="9"/>
    </row>
    <row r="9" spans="1:31" ht="12.75">
      <c r="A9" s="83"/>
      <c r="B9" s="84"/>
      <c r="C9" s="84"/>
      <c r="D9" s="85"/>
      <c r="E9" s="86"/>
      <c r="F9" s="86"/>
      <c r="G9" s="87"/>
      <c r="H9" s="86"/>
      <c r="I9" s="88"/>
      <c r="J9" s="88"/>
      <c r="K9" s="88"/>
      <c r="L9" s="89"/>
      <c r="M9" s="136"/>
      <c r="N9" s="136"/>
      <c r="O9" s="89"/>
      <c r="P9" s="90"/>
      <c r="Q9" s="80">
        <f t="shared" si="1"/>
        <v>0</v>
      </c>
      <c r="R9" s="91"/>
      <c r="S9" s="91"/>
      <c r="T9" s="90"/>
      <c r="U9" s="90"/>
      <c r="V9" s="90"/>
      <c r="W9" s="89"/>
      <c r="X9" s="89"/>
      <c r="Y9" s="92"/>
      <c r="Z9" s="92"/>
      <c r="AA9" s="92"/>
      <c r="AB9" s="92"/>
      <c r="AC9" s="89"/>
      <c r="AD9" s="90"/>
      <c r="AE9" s="15"/>
    </row>
    <row r="10" spans="1:31" ht="12.75">
      <c r="A10" s="75" t="s">
        <v>163</v>
      </c>
      <c r="B10" s="55"/>
      <c r="C10" s="55"/>
      <c r="D10" s="56">
        <v>2</v>
      </c>
      <c r="E10" s="45">
        <f>E4-50</f>
        <v>4050</v>
      </c>
      <c r="F10" s="45">
        <f>$E10*0.5/100</f>
        <v>20.25</v>
      </c>
      <c r="G10" s="86"/>
      <c r="H10" s="86"/>
      <c r="I10" s="46">
        <f>D10*(E10+F10+G10+H10)</f>
        <v>8140.5</v>
      </c>
      <c r="J10" s="159">
        <f>J4*D10</f>
        <v>8040</v>
      </c>
      <c r="K10" s="46">
        <v>7110</v>
      </c>
      <c r="L10" s="94" t="s">
        <v>99</v>
      </c>
      <c r="M10" s="79">
        <f t="shared" si="0"/>
        <v>-1030.5</v>
      </c>
      <c r="N10" s="136">
        <f>-J10+K10-50*D10</f>
        <v>-1030</v>
      </c>
      <c r="O10" s="98">
        <f>X10+576+Z10</f>
        <v>4524</v>
      </c>
      <c r="P10" s="95" t="s">
        <v>182</v>
      </c>
      <c r="Q10" s="183">
        <f t="shared" si="1"/>
        <v>-3616.5</v>
      </c>
      <c r="R10" s="50"/>
      <c r="S10" s="50" t="s">
        <v>24</v>
      </c>
      <c r="T10" s="95"/>
      <c r="U10" s="164" t="s">
        <v>250</v>
      </c>
      <c r="V10" s="164" t="s">
        <v>282</v>
      </c>
      <c r="W10" s="169">
        <v>0</v>
      </c>
      <c r="X10" s="169">
        <f>U10+V10+W10</f>
        <v>2039</v>
      </c>
      <c r="Y10" s="184">
        <f>X10-J10</f>
        <v>-6001</v>
      </c>
      <c r="Z10" s="92">
        <f>576+688+645</f>
        <v>1909</v>
      </c>
      <c r="AA10" s="185">
        <f>Z10+Y10</f>
        <v>-4092</v>
      </c>
      <c r="AB10" s="92">
        <f>Z10/D10</f>
        <v>954.5</v>
      </c>
      <c r="AC10" s="186">
        <f>X10/D10+AB10</f>
        <v>1974</v>
      </c>
      <c r="AD10" s="108"/>
      <c r="AE10" s="9"/>
    </row>
    <row r="11" spans="1:31" s="15" customFormat="1" ht="12.75">
      <c r="A11" s="102" t="s">
        <v>164</v>
      </c>
      <c r="B11" s="84"/>
      <c r="C11" s="84" t="s">
        <v>59</v>
      </c>
      <c r="D11" s="85">
        <v>1</v>
      </c>
      <c r="E11" s="85"/>
      <c r="F11" s="85"/>
      <c r="G11" s="87">
        <f>$G$4</f>
        <v>315</v>
      </c>
      <c r="H11" s="86">
        <f>$G11*1/100</f>
        <v>3.15</v>
      </c>
      <c r="I11" s="88">
        <f>D11*(E11+F11+G11+H11)</f>
        <v>318.15</v>
      </c>
      <c r="J11" s="88"/>
      <c r="K11" s="88"/>
      <c r="L11" s="103"/>
      <c r="M11" s="136">
        <f t="shared" si="0"/>
        <v>-318.15</v>
      </c>
      <c r="N11" s="136"/>
      <c r="O11" s="83"/>
      <c r="P11" s="108"/>
      <c r="Q11" s="136">
        <f t="shared" si="1"/>
        <v>-318.15</v>
      </c>
      <c r="R11" s="91"/>
      <c r="S11" s="91"/>
      <c r="T11" s="108"/>
      <c r="U11" s="108"/>
      <c r="V11" s="108"/>
      <c r="W11" s="83"/>
      <c r="X11" s="83"/>
      <c r="Y11" s="92"/>
      <c r="Z11" s="92"/>
      <c r="AA11" s="92"/>
      <c r="AB11" s="92"/>
      <c r="AC11" s="89"/>
      <c r="AD11" s="108"/>
      <c r="AE11" s="9"/>
    </row>
    <row r="12" spans="1:31" ht="12.75">
      <c r="A12" s="54"/>
      <c r="B12" s="55"/>
      <c r="C12" s="55"/>
      <c r="D12" s="56"/>
      <c r="E12" s="56"/>
      <c r="F12" s="56"/>
      <c r="G12" s="86"/>
      <c r="H12" s="86"/>
      <c r="I12" s="57"/>
      <c r="J12" s="57"/>
      <c r="K12" s="57"/>
      <c r="L12" s="41"/>
      <c r="M12" s="136"/>
      <c r="N12" s="136"/>
      <c r="O12" s="83"/>
      <c r="P12" s="95"/>
      <c r="Q12" s="80">
        <f t="shared" si="1"/>
        <v>0</v>
      </c>
      <c r="R12" s="50"/>
      <c r="S12" s="50"/>
      <c r="T12" s="95"/>
      <c r="U12" s="108"/>
      <c r="V12" s="108"/>
      <c r="W12" s="83"/>
      <c r="X12" s="83"/>
      <c r="Y12" s="81"/>
      <c r="Z12" s="81"/>
      <c r="AA12" s="81"/>
      <c r="AB12" s="81"/>
      <c r="AC12" s="52"/>
      <c r="AD12" s="108"/>
      <c r="AE12" s="9"/>
    </row>
    <row r="13" spans="1:31" ht="12.75">
      <c r="A13" s="82" t="s">
        <v>165</v>
      </c>
      <c r="B13" s="60" t="s">
        <v>58</v>
      </c>
      <c r="C13" s="60" t="s">
        <v>263</v>
      </c>
      <c r="D13" s="61">
        <v>61</v>
      </c>
      <c r="E13" s="45">
        <f>$E$4</f>
        <v>4100</v>
      </c>
      <c r="F13" s="45">
        <f>$E13*0.5/100</f>
        <v>20.5</v>
      </c>
      <c r="G13" s="86"/>
      <c r="H13" s="86"/>
      <c r="I13" s="46">
        <f>D13*(E13+F13+G13+H13)</f>
        <v>251350.5</v>
      </c>
      <c r="J13" s="159">
        <f>J4*D13</f>
        <v>245220</v>
      </c>
      <c r="K13" s="46">
        <v>208020</v>
      </c>
      <c r="L13" s="46" t="s">
        <v>99</v>
      </c>
      <c r="M13" s="79">
        <f>-I13+K13-I14+K14</f>
        <v>-43966.8</v>
      </c>
      <c r="N13" s="136">
        <f>-J13+K13-50*D13</f>
        <v>-40250</v>
      </c>
      <c r="O13" s="112">
        <f>X13</f>
        <v>200126</v>
      </c>
      <c r="P13" s="51" t="s">
        <v>122</v>
      </c>
      <c r="Q13" s="183">
        <f t="shared" si="1"/>
        <v>-51224.5</v>
      </c>
      <c r="R13" s="50"/>
      <c r="S13" s="50" t="s">
        <v>24</v>
      </c>
      <c r="T13" s="49" t="s">
        <v>136</v>
      </c>
      <c r="U13" s="164" t="s">
        <v>255</v>
      </c>
      <c r="V13" s="100" t="s">
        <v>288</v>
      </c>
      <c r="W13" s="170">
        <v>0</v>
      </c>
      <c r="X13" s="169">
        <f>U13+V13+W13</f>
        <v>200126</v>
      </c>
      <c r="Y13" s="184">
        <f>X13-J13</f>
        <v>-45094</v>
      </c>
      <c r="Z13" s="92">
        <v>0</v>
      </c>
      <c r="AA13" s="185">
        <f>Z13+Y13</f>
        <v>-45094</v>
      </c>
      <c r="AB13" s="92">
        <f>Z13/D13</f>
        <v>0</v>
      </c>
      <c r="AC13" s="89">
        <f>X13/D13+AB13</f>
        <v>3280.754098360656</v>
      </c>
      <c r="AD13" s="90"/>
      <c r="AE13" s="9"/>
    </row>
    <row r="14" spans="1:31" s="15" customFormat="1" ht="12.75">
      <c r="A14" s="83" t="s">
        <v>166</v>
      </c>
      <c r="B14" s="99" t="s">
        <v>58</v>
      </c>
      <c r="C14" s="99" t="s">
        <v>59</v>
      </c>
      <c r="D14" s="87">
        <v>2</v>
      </c>
      <c r="E14" s="87"/>
      <c r="F14" s="87"/>
      <c r="G14" s="87">
        <f>$G$4</f>
        <v>315</v>
      </c>
      <c r="H14" s="86">
        <f>$G14*1/100</f>
        <v>3.15</v>
      </c>
      <c r="I14" s="88">
        <f>D14*(E14+F14+G14+H14)</f>
        <v>636.3</v>
      </c>
      <c r="J14" s="88"/>
      <c r="K14" s="88">
        <v>0</v>
      </c>
      <c r="L14" s="88"/>
      <c r="M14" s="136"/>
      <c r="N14" s="136"/>
      <c r="O14" s="88"/>
      <c r="P14" s="90"/>
      <c r="Q14" s="136">
        <f t="shared" si="1"/>
        <v>-636.3</v>
      </c>
      <c r="R14" s="91"/>
      <c r="S14" s="91"/>
      <c r="T14" s="90" t="s">
        <v>136</v>
      </c>
      <c r="U14" s="90"/>
      <c r="V14" s="90"/>
      <c r="W14" s="89"/>
      <c r="X14" s="89"/>
      <c r="Y14" s="92"/>
      <c r="Z14" s="92"/>
      <c r="AA14" s="92"/>
      <c r="AB14" s="92"/>
      <c r="AC14" s="89"/>
      <c r="AD14" s="90"/>
      <c r="AE14" s="9"/>
    </row>
    <row r="15" spans="1:31" s="15" customFormat="1" ht="12.75">
      <c r="A15" s="83"/>
      <c r="B15" s="99"/>
      <c r="C15" s="99"/>
      <c r="D15" s="87"/>
      <c r="E15" s="87"/>
      <c r="F15" s="87"/>
      <c r="G15" s="87"/>
      <c r="H15" s="86"/>
      <c r="I15" s="88"/>
      <c r="J15" s="88"/>
      <c r="K15" s="88"/>
      <c r="L15" s="88"/>
      <c r="M15" s="136"/>
      <c r="N15" s="136"/>
      <c r="O15" s="88"/>
      <c r="P15" s="90"/>
      <c r="Q15" s="136"/>
      <c r="R15" s="91"/>
      <c r="S15" s="91"/>
      <c r="T15" s="90"/>
      <c r="U15" s="90"/>
      <c r="V15" s="90"/>
      <c r="W15" s="89"/>
      <c r="X15" s="89"/>
      <c r="Y15" s="92"/>
      <c r="Z15" s="92"/>
      <c r="AA15" s="92"/>
      <c r="AB15" s="92"/>
      <c r="AC15" s="89"/>
      <c r="AD15" s="90"/>
      <c r="AE15" s="9"/>
    </row>
    <row r="16" spans="1:31" ht="12.75">
      <c r="A16" s="75" t="s">
        <v>20</v>
      </c>
      <c r="B16" s="43" t="s">
        <v>62</v>
      </c>
      <c r="C16" s="99" t="s">
        <v>61</v>
      </c>
      <c r="D16" s="44">
        <v>183</v>
      </c>
      <c r="E16" s="45">
        <f>$E$4</f>
        <v>4100</v>
      </c>
      <c r="F16" s="45">
        <f>$E16*2/100</f>
        <v>82</v>
      </c>
      <c r="G16" s="87"/>
      <c r="H16" s="86"/>
      <c r="I16" s="46">
        <f>D16*(E16+F16+G16+H16)+D17*(E17+F17+G17+H17)</f>
        <v>768254.4</v>
      </c>
      <c r="J16" s="159">
        <f>J4*D16</f>
        <v>735660</v>
      </c>
      <c r="K16" s="78">
        <v>698300</v>
      </c>
      <c r="L16" s="47" t="s">
        <v>100</v>
      </c>
      <c r="M16" s="79">
        <f>-I16+K16-I17+K17</f>
        <v>-69954.40000000002</v>
      </c>
      <c r="N16" s="136">
        <f>-J16+K16-50*D16</f>
        <v>-46510</v>
      </c>
      <c r="O16" s="98">
        <f>X16+1000+48075+Z16</f>
        <v>339159</v>
      </c>
      <c r="P16" s="51" t="s">
        <v>181</v>
      </c>
      <c r="Q16" s="183">
        <f t="shared" si="1"/>
        <v>-429095.4</v>
      </c>
      <c r="R16" s="147" t="s">
        <v>31</v>
      </c>
      <c r="S16" s="50" t="s">
        <v>140</v>
      </c>
      <c r="T16" s="90" t="s">
        <v>41</v>
      </c>
      <c r="U16" s="164" t="s">
        <v>256</v>
      </c>
      <c r="V16" s="164" t="s">
        <v>283</v>
      </c>
      <c r="W16" s="169">
        <v>1830</v>
      </c>
      <c r="X16" s="169">
        <f>U16+V16+W16</f>
        <v>170249</v>
      </c>
      <c r="Y16" s="184">
        <f>X16-J16</f>
        <v>-565411</v>
      </c>
      <c r="Z16" s="92">
        <f>25000+23075+21760+25000+25000</f>
        <v>119835</v>
      </c>
      <c r="AA16" s="185">
        <f>Z16+Y16</f>
        <v>-445576</v>
      </c>
      <c r="AB16" s="92">
        <f>Z16/D16</f>
        <v>654.8360655737705</v>
      </c>
      <c r="AC16" s="89">
        <f>X16/D16+AB16</f>
        <v>1585.1584699453551</v>
      </c>
      <c r="AD16" s="90"/>
      <c r="AE16" s="9"/>
    </row>
    <row r="17" spans="1:31" s="15" customFormat="1" ht="12.75">
      <c r="A17" s="102" t="s">
        <v>167</v>
      </c>
      <c r="B17" s="84" t="s">
        <v>62</v>
      </c>
      <c r="C17" s="99" t="s">
        <v>61</v>
      </c>
      <c r="D17" s="85">
        <v>9</v>
      </c>
      <c r="E17" s="86"/>
      <c r="F17" s="86"/>
      <c r="G17" s="87">
        <f>$G$4</f>
        <v>315</v>
      </c>
      <c r="H17" s="86">
        <f>$G17*4/100</f>
        <v>12.6</v>
      </c>
      <c r="I17" s="88"/>
      <c r="J17" s="88"/>
      <c r="K17" s="88"/>
      <c r="L17" s="89"/>
      <c r="M17" s="136"/>
      <c r="N17" s="136"/>
      <c r="O17" s="89"/>
      <c r="P17" s="90"/>
      <c r="Q17" s="136">
        <f t="shared" si="1"/>
        <v>0</v>
      </c>
      <c r="R17" s="91"/>
      <c r="S17" s="91"/>
      <c r="T17" s="90" t="s">
        <v>41</v>
      </c>
      <c r="U17" s="90"/>
      <c r="V17" s="90"/>
      <c r="W17" s="89"/>
      <c r="X17" s="89"/>
      <c r="Y17" s="92"/>
      <c r="Z17" s="92"/>
      <c r="AA17" s="92"/>
      <c r="AB17" s="92"/>
      <c r="AC17" s="89"/>
      <c r="AD17" s="90"/>
      <c r="AE17" s="9"/>
    </row>
    <row r="18" spans="1:31" s="15" customFormat="1" ht="12.75">
      <c r="A18" s="102" t="s">
        <v>168</v>
      </c>
      <c r="B18" s="84" t="s">
        <v>62</v>
      </c>
      <c r="C18" s="99" t="s">
        <v>61</v>
      </c>
      <c r="D18" s="85">
        <v>3</v>
      </c>
      <c r="E18" s="87"/>
      <c r="F18" s="85"/>
      <c r="G18" s="87">
        <f>$G$4</f>
        <v>315</v>
      </c>
      <c r="H18" s="86">
        <f>$G18*4/100</f>
        <v>12.6</v>
      </c>
      <c r="I18" s="88">
        <f>D18*(E18+F18+G18+H18)</f>
        <v>982.8000000000001</v>
      </c>
      <c r="J18" s="88"/>
      <c r="K18" s="103">
        <v>930</v>
      </c>
      <c r="L18" s="89" t="s">
        <v>100</v>
      </c>
      <c r="M18" s="136">
        <f>-I18+K18</f>
        <v>-52.80000000000007</v>
      </c>
      <c r="N18" s="136"/>
      <c r="O18" s="89">
        <f>948</f>
        <v>948</v>
      </c>
      <c r="P18" s="90"/>
      <c r="Q18" s="136">
        <f t="shared" si="1"/>
        <v>-34.80000000000007</v>
      </c>
      <c r="R18" s="91"/>
      <c r="S18" s="91"/>
      <c r="T18" s="90" t="s">
        <v>41</v>
      </c>
      <c r="U18" s="90"/>
      <c r="V18" s="90"/>
      <c r="W18" s="89"/>
      <c r="X18" s="89"/>
      <c r="Y18" s="92"/>
      <c r="Z18" s="92"/>
      <c r="AA18" s="92"/>
      <c r="AB18" s="92"/>
      <c r="AC18" s="89"/>
      <c r="AD18" s="90"/>
      <c r="AE18" s="9"/>
    </row>
    <row r="19" spans="1:31" ht="12.75">
      <c r="A19" s="75" t="s">
        <v>21</v>
      </c>
      <c r="B19" s="43" t="s">
        <v>62</v>
      </c>
      <c r="C19" s="99" t="s">
        <v>61</v>
      </c>
      <c r="D19" s="44">
        <v>6</v>
      </c>
      <c r="E19" s="45">
        <f>$E$4</f>
        <v>4100</v>
      </c>
      <c r="F19" s="45">
        <f>$E19*2/100</f>
        <v>82</v>
      </c>
      <c r="G19" s="87"/>
      <c r="H19" s="86"/>
      <c r="I19" s="46">
        <f>D19*(E19+F19+G19+H19)</f>
        <v>25092</v>
      </c>
      <c r="J19" s="159">
        <f>J4*D19</f>
        <v>24120</v>
      </c>
      <c r="K19" s="101">
        <v>22800</v>
      </c>
      <c r="L19" s="47" t="s">
        <v>100</v>
      </c>
      <c r="M19" s="79">
        <f>-I19+K19</f>
        <v>-2292</v>
      </c>
      <c r="N19" s="136">
        <f>-J19+K19-50*D19</f>
        <v>-1620</v>
      </c>
      <c r="O19" s="98">
        <f>X19+Z19</f>
        <v>10625</v>
      </c>
      <c r="P19" s="51"/>
      <c r="Q19" s="183">
        <f t="shared" si="1"/>
        <v>-14467</v>
      </c>
      <c r="R19" s="147" t="s">
        <v>31</v>
      </c>
      <c r="S19" s="50" t="s">
        <v>140</v>
      </c>
      <c r="T19" s="90" t="s">
        <v>41</v>
      </c>
      <c r="U19" s="164" t="s">
        <v>257</v>
      </c>
      <c r="V19" s="164" t="s">
        <v>187</v>
      </c>
      <c r="W19" s="169">
        <v>60</v>
      </c>
      <c r="X19" s="169">
        <f>U19+V19+W19</f>
        <v>10625</v>
      </c>
      <c r="Y19" s="184">
        <f>X19-J19</f>
        <v>-13495</v>
      </c>
      <c r="Z19" s="92">
        <v>0</v>
      </c>
      <c r="AA19" s="185">
        <f>Z19+Y19</f>
        <v>-13495</v>
      </c>
      <c r="AB19" s="92">
        <f>Z19/D19</f>
        <v>0</v>
      </c>
      <c r="AC19" s="89">
        <f>X19/D19+AB19</f>
        <v>1770.8333333333333</v>
      </c>
      <c r="AD19" s="90"/>
      <c r="AE19" s="9"/>
    </row>
    <row r="20" spans="1:31" s="15" customFormat="1" ht="12.75">
      <c r="A20" s="102"/>
      <c r="B20" s="84"/>
      <c r="C20" s="99"/>
      <c r="D20" s="85"/>
      <c r="E20" s="86"/>
      <c r="F20" s="86"/>
      <c r="G20" s="87"/>
      <c r="H20" s="86"/>
      <c r="I20" s="88"/>
      <c r="J20" s="88"/>
      <c r="K20" s="103"/>
      <c r="L20" s="89"/>
      <c r="M20" s="136"/>
      <c r="N20" s="136"/>
      <c r="O20" s="89"/>
      <c r="P20" s="90"/>
      <c r="Q20" s="136"/>
      <c r="R20" s="91"/>
      <c r="S20" s="91"/>
      <c r="T20" s="90"/>
      <c r="U20" s="90"/>
      <c r="V20" s="90"/>
      <c r="W20" s="89"/>
      <c r="X20" s="89"/>
      <c r="Y20" s="92"/>
      <c r="Z20" s="92"/>
      <c r="AA20" s="92"/>
      <c r="AB20" s="92"/>
      <c r="AC20" s="89"/>
      <c r="AD20" s="90"/>
      <c r="AE20" s="9"/>
    </row>
    <row r="21" spans="1:31" ht="12.75">
      <c r="A21" s="75" t="s">
        <v>70</v>
      </c>
      <c r="B21" s="43" t="s">
        <v>69</v>
      </c>
      <c r="C21" s="60" t="s">
        <v>74</v>
      </c>
      <c r="D21" s="44">
        <v>1</v>
      </c>
      <c r="E21" s="45">
        <f>$E$4</f>
        <v>4100</v>
      </c>
      <c r="F21" s="45">
        <f>$E21*0.5/100</f>
        <v>20.5</v>
      </c>
      <c r="G21" s="87">
        <f>$G$4</f>
        <v>315</v>
      </c>
      <c r="H21" s="86">
        <f>$G21*1/100</f>
        <v>3.15</v>
      </c>
      <c r="I21" s="46">
        <f>D21*(E21+F21+G21+H21)</f>
        <v>4438.65</v>
      </c>
      <c r="J21" s="159">
        <f>J4*D21</f>
        <v>4020</v>
      </c>
      <c r="K21" s="78">
        <v>4110</v>
      </c>
      <c r="L21" s="47" t="s">
        <v>100</v>
      </c>
      <c r="M21" s="79">
        <f>-I21+K21</f>
        <v>-328.64999999999964</v>
      </c>
      <c r="N21" s="136">
        <f>-J21+K21-50*D21</f>
        <v>40</v>
      </c>
      <c r="O21" s="98">
        <f>X21+Z21</f>
        <v>4432</v>
      </c>
      <c r="P21" s="51" t="s">
        <v>180</v>
      </c>
      <c r="Q21" s="182">
        <f t="shared" si="1"/>
        <v>-6.649999999999636</v>
      </c>
      <c r="R21" s="50"/>
      <c r="S21" s="50" t="s">
        <v>24</v>
      </c>
      <c r="T21" s="49" t="s">
        <v>136</v>
      </c>
      <c r="U21" s="164" t="s">
        <v>249</v>
      </c>
      <c r="V21" s="164" t="s">
        <v>188</v>
      </c>
      <c r="W21" s="169">
        <v>50</v>
      </c>
      <c r="X21" s="169">
        <f>U21+V21+W21</f>
        <v>4432</v>
      </c>
      <c r="Y21" s="154">
        <f>X21-J21</f>
        <v>412</v>
      </c>
      <c r="Z21" s="154"/>
      <c r="AA21" s="154"/>
      <c r="AB21" s="154"/>
      <c r="AC21" s="174">
        <f>X21/D21</f>
        <v>4432</v>
      </c>
      <c r="AD21" s="90"/>
      <c r="AE21" s="9"/>
    </row>
    <row r="22" spans="1:31" ht="12.75">
      <c r="A22" s="75" t="s">
        <v>71</v>
      </c>
      <c r="B22" s="43" t="s">
        <v>73</v>
      </c>
      <c r="C22" s="60" t="s">
        <v>72</v>
      </c>
      <c r="D22" s="44">
        <v>1</v>
      </c>
      <c r="E22" s="45">
        <f>$E$4</f>
        <v>4100</v>
      </c>
      <c r="F22" s="45">
        <f>$E22*0.5/100</f>
        <v>20.5</v>
      </c>
      <c r="G22" s="87"/>
      <c r="H22" s="86"/>
      <c r="I22" s="46">
        <f>D22*(E22+F22+G22+H22)</f>
        <v>4120.5</v>
      </c>
      <c r="J22" s="159">
        <f>J4*D22</f>
        <v>4020</v>
      </c>
      <c r="K22" s="78">
        <v>3800</v>
      </c>
      <c r="L22" s="47" t="s">
        <v>100</v>
      </c>
      <c r="M22" s="79">
        <f>-I22+K22</f>
        <v>-320.5</v>
      </c>
      <c r="N22" s="136">
        <f>-J22+K22-50*D22</f>
        <v>-270</v>
      </c>
      <c r="O22" s="98">
        <f>X22+Z22</f>
        <v>3592</v>
      </c>
      <c r="P22" s="51"/>
      <c r="Q22" s="136">
        <f t="shared" si="1"/>
        <v>-528.5</v>
      </c>
      <c r="R22" s="50"/>
      <c r="S22" s="50" t="s">
        <v>24</v>
      </c>
      <c r="T22" s="49" t="s">
        <v>139</v>
      </c>
      <c r="U22" s="164" t="s">
        <v>249</v>
      </c>
      <c r="V22" s="164" t="s">
        <v>189</v>
      </c>
      <c r="W22" s="169">
        <v>10</v>
      </c>
      <c r="X22" s="169">
        <f>U22+V22+W22</f>
        <v>3592</v>
      </c>
      <c r="Y22" s="184">
        <f>X22-J22</f>
        <v>-428</v>
      </c>
      <c r="Z22" s="92">
        <v>0</v>
      </c>
      <c r="AA22" s="185">
        <f>Z22+Y22</f>
        <v>-428</v>
      </c>
      <c r="AB22" s="92">
        <f>Z22/D22</f>
        <v>0</v>
      </c>
      <c r="AC22" s="89">
        <f>X22/D22</f>
        <v>3592</v>
      </c>
      <c r="AD22" s="90"/>
      <c r="AE22" s="9"/>
    </row>
    <row r="23" spans="1:31" ht="12.75">
      <c r="A23" s="104" t="s">
        <v>22</v>
      </c>
      <c r="B23" s="64"/>
      <c r="C23" s="65"/>
      <c r="D23" s="66"/>
      <c r="E23" s="66"/>
      <c r="F23" s="105"/>
      <c r="G23" s="66"/>
      <c r="H23" s="105"/>
      <c r="I23" s="68"/>
      <c r="J23" s="68"/>
      <c r="K23" s="68"/>
      <c r="L23" s="69"/>
      <c r="M23" s="68"/>
      <c r="N23" s="68"/>
      <c r="O23" s="106"/>
      <c r="P23" s="68"/>
      <c r="Q23" s="106"/>
      <c r="R23" s="72"/>
      <c r="S23" s="72"/>
      <c r="T23" s="73"/>
      <c r="U23" s="73"/>
      <c r="V23" s="73"/>
      <c r="W23" s="71"/>
      <c r="X23" s="71"/>
      <c r="Y23" s="68"/>
      <c r="Z23" s="68"/>
      <c r="AA23" s="68"/>
      <c r="AB23" s="68"/>
      <c r="AC23" s="107"/>
      <c r="AD23" s="73"/>
      <c r="AE23" s="15"/>
    </row>
    <row r="24" spans="1:31" ht="12.75">
      <c r="A24" s="75" t="s">
        <v>85</v>
      </c>
      <c r="B24" s="43" t="s">
        <v>83</v>
      </c>
      <c r="C24" s="84"/>
      <c r="D24" s="44">
        <v>2</v>
      </c>
      <c r="E24" s="45">
        <f>$E$4</f>
        <v>4100</v>
      </c>
      <c r="F24" s="45">
        <f>$E24*0.5/100</f>
        <v>20.5</v>
      </c>
      <c r="G24" s="87"/>
      <c r="H24" s="86"/>
      <c r="I24" s="46">
        <f>D24*(E24+F24+G24+H24)</f>
        <v>8241</v>
      </c>
      <c r="J24" s="159">
        <f>J4*D24</f>
        <v>8040</v>
      </c>
      <c r="K24" s="78">
        <f>(3800*2)+100</f>
        <v>7700</v>
      </c>
      <c r="L24" s="47" t="s">
        <v>100</v>
      </c>
      <c r="M24" s="79">
        <f>-I24+K24</f>
        <v>-541</v>
      </c>
      <c r="N24" s="136">
        <f>-J24+K24-50*D24</f>
        <v>-440</v>
      </c>
      <c r="O24" s="98">
        <f>X24+1018+1144+Z24</f>
        <v>9909</v>
      </c>
      <c r="P24" s="90"/>
      <c r="Q24" s="183">
        <f t="shared" si="1"/>
        <v>1668</v>
      </c>
      <c r="R24" s="91"/>
      <c r="S24" s="50" t="s">
        <v>24</v>
      </c>
      <c r="T24" s="108"/>
      <c r="U24" s="164" t="s">
        <v>259</v>
      </c>
      <c r="V24" s="164" t="s">
        <v>284</v>
      </c>
      <c r="W24" s="169">
        <v>0</v>
      </c>
      <c r="X24" s="169">
        <f>U24+V24+W24</f>
        <v>2507</v>
      </c>
      <c r="Y24" s="184">
        <f>X24-J24</f>
        <v>-5533</v>
      </c>
      <c r="Z24" s="92">
        <f>1018+1144+558+2520</f>
        <v>5240</v>
      </c>
      <c r="AA24" s="185">
        <f>Z24+Y24</f>
        <v>-293</v>
      </c>
      <c r="AB24" s="92">
        <f>Z24/D24</f>
        <v>2620</v>
      </c>
      <c r="AC24" s="89">
        <f>X24/D24+AB24</f>
        <v>3873.5</v>
      </c>
      <c r="AD24" s="108"/>
      <c r="AE24" s="15"/>
    </row>
    <row r="25" spans="1:31" ht="12.75">
      <c r="A25" s="75" t="s">
        <v>84</v>
      </c>
      <c r="B25" s="43" t="s">
        <v>83</v>
      </c>
      <c r="C25" s="55"/>
      <c r="D25" s="44">
        <v>4</v>
      </c>
      <c r="E25" s="45">
        <f>$E$4</f>
        <v>4100</v>
      </c>
      <c r="F25" s="45">
        <f>$E25*0.5/100</f>
        <v>20.5</v>
      </c>
      <c r="G25" s="87"/>
      <c r="H25" s="86"/>
      <c r="I25" s="46">
        <f>D25*(E25+F25+G25+H25)</f>
        <v>16482</v>
      </c>
      <c r="J25" s="159">
        <f>J4*D25</f>
        <v>16080</v>
      </c>
      <c r="K25" s="78">
        <f>(3800*4)+200</f>
        <v>15400</v>
      </c>
      <c r="L25" s="47" t="s">
        <v>100</v>
      </c>
      <c r="M25" s="79">
        <f>-I25+K25</f>
        <v>-1082</v>
      </c>
      <c r="N25" s="136">
        <f>-J25+K25-50*D25</f>
        <v>-880</v>
      </c>
      <c r="O25" s="98">
        <f>X25+2995+2000+Z25</f>
        <v>20228</v>
      </c>
      <c r="P25" s="90"/>
      <c r="Q25" s="183">
        <f t="shared" si="1"/>
        <v>3746</v>
      </c>
      <c r="R25" s="50"/>
      <c r="S25" s="50" t="s">
        <v>24</v>
      </c>
      <c r="T25" s="51"/>
      <c r="U25" s="164" t="s">
        <v>262</v>
      </c>
      <c r="V25" s="164" t="s">
        <v>285</v>
      </c>
      <c r="W25" s="169">
        <v>4</v>
      </c>
      <c r="X25" s="169">
        <f>U25+V25+W25</f>
        <v>5549</v>
      </c>
      <c r="Y25" s="184">
        <f>X25-J25</f>
        <v>-10531</v>
      </c>
      <c r="Z25" s="92">
        <f>2995+2000+3250+1439</f>
        <v>9684</v>
      </c>
      <c r="AA25" s="185">
        <f>Z25+Y25</f>
        <v>-847</v>
      </c>
      <c r="AB25" s="92">
        <f>Z25/D25</f>
        <v>2421</v>
      </c>
      <c r="AC25" s="89">
        <f>X25/D25+AB25</f>
        <v>3808.25</v>
      </c>
      <c r="AD25" s="90"/>
      <c r="AE25" s="9"/>
    </row>
    <row r="26" spans="1:31" ht="12.75">
      <c r="A26" s="104" t="s">
        <v>65</v>
      </c>
      <c r="B26" s="64"/>
      <c r="C26" s="65"/>
      <c r="D26" s="66"/>
      <c r="E26" s="66"/>
      <c r="F26" s="66"/>
      <c r="G26" s="66"/>
      <c r="H26" s="67"/>
      <c r="I26" s="68"/>
      <c r="J26" s="68"/>
      <c r="K26" s="69"/>
      <c r="L26" s="69"/>
      <c r="M26" s="68"/>
      <c r="N26" s="68"/>
      <c r="O26" s="106"/>
      <c r="P26" s="68"/>
      <c r="Q26" s="106"/>
      <c r="R26" s="72"/>
      <c r="S26" s="72"/>
      <c r="T26" s="73"/>
      <c r="U26" s="73"/>
      <c r="V26" s="73"/>
      <c r="W26" s="71"/>
      <c r="X26" s="71"/>
      <c r="Y26" s="68"/>
      <c r="Z26" s="68"/>
      <c r="AA26" s="68"/>
      <c r="AB26" s="68"/>
      <c r="AC26" s="107"/>
      <c r="AD26" s="73"/>
      <c r="AE26" s="15"/>
    </row>
    <row r="27" spans="1:31" ht="12.75">
      <c r="A27" s="82" t="s">
        <v>67</v>
      </c>
      <c r="B27" s="60" t="s">
        <v>66</v>
      </c>
      <c r="C27" s="60" t="s">
        <v>64</v>
      </c>
      <c r="D27" s="44">
        <v>1</v>
      </c>
      <c r="E27" s="45">
        <v>50</v>
      </c>
      <c r="F27" s="86"/>
      <c r="G27" s="87"/>
      <c r="H27" s="86"/>
      <c r="I27" s="46">
        <f>D27*(E27+F27+G27+H27)</f>
        <v>50</v>
      </c>
      <c r="J27" s="88"/>
      <c r="K27" s="78">
        <v>50</v>
      </c>
      <c r="L27" s="47" t="s">
        <v>100</v>
      </c>
      <c r="M27" s="136">
        <f>-I27+K27</f>
        <v>0</v>
      </c>
      <c r="N27" s="136"/>
      <c r="O27" s="47">
        <v>50</v>
      </c>
      <c r="P27" s="51">
        <v>38626</v>
      </c>
      <c r="Q27" s="80">
        <f t="shared" si="1"/>
        <v>0</v>
      </c>
      <c r="R27" s="147" t="s">
        <v>31</v>
      </c>
      <c r="S27" s="50"/>
      <c r="T27" s="90" t="s">
        <v>41</v>
      </c>
      <c r="U27" s="90"/>
      <c r="V27" s="90"/>
      <c r="W27" s="169">
        <v>5</v>
      </c>
      <c r="X27" s="169">
        <f>U27+V27+W27</f>
        <v>5</v>
      </c>
      <c r="Y27" s="81"/>
      <c r="Z27" s="81"/>
      <c r="AA27" s="81"/>
      <c r="AB27" s="81"/>
      <c r="AC27" s="52"/>
      <c r="AD27" s="90"/>
      <c r="AE27" s="9"/>
    </row>
    <row r="28" spans="1:31" ht="12.75">
      <c r="A28" s="82" t="s">
        <v>264</v>
      </c>
      <c r="B28" s="60"/>
      <c r="C28" s="60"/>
      <c r="D28" s="44"/>
      <c r="E28" s="45"/>
      <c r="F28" s="86"/>
      <c r="G28" s="87"/>
      <c r="H28" s="86"/>
      <c r="I28" s="46"/>
      <c r="J28" s="160" t="s">
        <v>253</v>
      </c>
      <c r="K28" s="78"/>
      <c r="L28" s="47"/>
      <c r="M28" s="136"/>
      <c r="N28" s="136"/>
      <c r="O28" s="47"/>
      <c r="P28" s="51"/>
      <c r="Q28" s="80"/>
      <c r="R28" s="147"/>
      <c r="S28" s="50"/>
      <c r="T28" s="90"/>
      <c r="U28" s="90"/>
      <c r="V28" s="90" t="s">
        <v>269</v>
      </c>
      <c r="W28" s="89"/>
      <c r="X28" s="89"/>
      <c r="Y28" s="81"/>
      <c r="Z28" s="81"/>
      <c r="AA28" s="81"/>
      <c r="AB28" s="81"/>
      <c r="AC28" s="52"/>
      <c r="AD28" s="90"/>
      <c r="AE28" s="181"/>
    </row>
    <row r="29" spans="1:31" ht="12.75">
      <c r="A29" s="109" t="s">
        <v>123</v>
      </c>
      <c r="B29" s="60" t="s">
        <v>68</v>
      </c>
      <c r="C29" s="60"/>
      <c r="D29" s="44">
        <v>1</v>
      </c>
      <c r="E29" s="45">
        <v>500</v>
      </c>
      <c r="F29" s="86"/>
      <c r="G29" s="87"/>
      <c r="H29" s="86"/>
      <c r="I29" s="46">
        <f>D29*(E29+F29+G29+H29)</f>
        <v>500</v>
      </c>
      <c r="J29" s="160" t="s">
        <v>253</v>
      </c>
      <c r="K29" s="46">
        <v>500</v>
      </c>
      <c r="L29" s="47" t="s">
        <v>100</v>
      </c>
      <c r="M29" s="136">
        <f>-I29+K29</f>
        <v>0</v>
      </c>
      <c r="N29" s="136"/>
      <c r="O29" s="47">
        <f>45+Z29</f>
        <v>295</v>
      </c>
      <c r="P29" s="51"/>
      <c r="Q29" s="80">
        <f t="shared" si="1"/>
        <v>-205</v>
      </c>
      <c r="R29" s="50"/>
      <c r="S29" s="50" t="s">
        <v>24</v>
      </c>
      <c r="T29" s="51"/>
      <c r="U29" s="164"/>
      <c r="V29" s="164" t="s">
        <v>251</v>
      </c>
      <c r="W29" s="89"/>
      <c r="X29" s="169">
        <f>U29+V29+W29</f>
        <v>42</v>
      </c>
      <c r="Y29" s="154"/>
      <c r="Z29" s="185">
        <v>250</v>
      </c>
      <c r="AA29" s="92"/>
      <c r="AB29" s="185">
        <v>250</v>
      </c>
      <c r="AC29" s="193">
        <f>X29/D29+AB29+5</f>
        <v>297</v>
      </c>
      <c r="AD29" s="90"/>
      <c r="AE29" s="9"/>
    </row>
    <row r="30" spans="1:31" ht="12.75">
      <c r="A30" s="104" t="s">
        <v>15</v>
      </c>
      <c r="B30" s="64"/>
      <c r="C30" s="65"/>
      <c r="D30" s="66"/>
      <c r="E30" s="66"/>
      <c r="F30" s="67"/>
      <c r="G30" s="67"/>
      <c r="H30" s="105"/>
      <c r="I30" s="68"/>
      <c r="J30" s="68"/>
      <c r="K30" s="69"/>
      <c r="L30" s="69"/>
      <c r="M30" s="68"/>
      <c r="N30" s="68"/>
      <c r="O30" s="106"/>
      <c r="P30" s="68"/>
      <c r="Q30" s="106"/>
      <c r="R30" s="72"/>
      <c r="S30" s="72"/>
      <c r="T30" s="73"/>
      <c r="U30" s="73"/>
      <c r="V30" s="73"/>
      <c r="W30" s="71"/>
      <c r="X30" s="71"/>
      <c r="Y30" s="68"/>
      <c r="Z30" s="68"/>
      <c r="AA30" s="68"/>
      <c r="AB30" s="68"/>
      <c r="AC30" s="107"/>
      <c r="AD30" s="73"/>
      <c r="AE30" s="15"/>
    </row>
    <row r="31" spans="1:31" ht="12.75">
      <c r="A31" s="75" t="s">
        <v>49</v>
      </c>
      <c r="B31" s="43" t="s">
        <v>23</v>
      </c>
      <c r="C31" s="43" t="s">
        <v>50</v>
      </c>
      <c r="D31" s="44">
        <v>1</v>
      </c>
      <c r="E31" s="45">
        <f aca="true" t="shared" si="2" ref="E31:E36">$E$4</f>
        <v>4100</v>
      </c>
      <c r="F31" s="45">
        <f aca="true" t="shared" si="3" ref="F31:F36">$E31*0.5/100</f>
        <v>20.5</v>
      </c>
      <c r="G31" s="87">
        <f aca="true" t="shared" si="4" ref="G31:G36">$G$4</f>
        <v>315</v>
      </c>
      <c r="H31" s="86">
        <f aca="true" t="shared" si="5" ref="H31:H36">$G31*1/100</f>
        <v>3.15</v>
      </c>
      <c r="I31" s="46">
        <f aca="true" t="shared" si="6" ref="I31:I36">D31*(E31+F31+G31+H31)</f>
        <v>4438.65</v>
      </c>
      <c r="J31" s="159">
        <f>J4*D31</f>
        <v>4020</v>
      </c>
      <c r="K31" s="78">
        <v>3850</v>
      </c>
      <c r="L31" s="47" t="s">
        <v>102</v>
      </c>
      <c r="M31" s="79">
        <f aca="true" t="shared" si="7" ref="M31:M36">-I31+K31</f>
        <v>-588.6499999999996</v>
      </c>
      <c r="N31" s="136">
        <f>-J31+K31-50*D31</f>
        <v>-220</v>
      </c>
      <c r="O31" s="98">
        <f aca="true" t="shared" si="8" ref="O31:O36">X31</f>
        <v>3784</v>
      </c>
      <c r="P31" s="51"/>
      <c r="Q31" s="80">
        <f t="shared" si="1"/>
        <v>-654.6499999999996</v>
      </c>
      <c r="R31" s="147" t="s">
        <v>31</v>
      </c>
      <c r="S31" s="50" t="s">
        <v>24</v>
      </c>
      <c r="T31" s="51" t="s">
        <v>136</v>
      </c>
      <c r="U31" s="164" t="s">
        <v>259</v>
      </c>
      <c r="V31" s="164" t="s">
        <v>190</v>
      </c>
      <c r="W31" s="169">
        <v>0</v>
      </c>
      <c r="X31" s="169">
        <f aca="true" t="shared" si="9" ref="X31:X36">U31+V31+W31</f>
        <v>3784</v>
      </c>
      <c r="Y31" s="154">
        <f aca="true" t="shared" si="10" ref="Y31:Y36">X31-J31</f>
        <v>-236</v>
      </c>
      <c r="Z31" s="92"/>
      <c r="AA31" s="92"/>
      <c r="AB31" s="92"/>
      <c r="AC31" s="174">
        <f aca="true" t="shared" si="11" ref="AC31:AC36">X31/D31</f>
        <v>3784</v>
      </c>
      <c r="AD31" s="90"/>
      <c r="AE31" s="9"/>
    </row>
    <row r="32" spans="1:31" ht="12.75">
      <c r="A32" s="75" t="s">
        <v>51</v>
      </c>
      <c r="B32" s="43" t="s">
        <v>5</v>
      </c>
      <c r="C32" s="76" t="s">
        <v>33</v>
      </c>
      <c r="D32" s="77">
        <v>2</v>
      </c>
      <c r="E32" s="45">
        <f t="shared" si="2"/>
        <v>4100</v>
      </c>
      <c r="F32" s="45">
        <f t="shared" si="3"/>
        <v>20.5</v>
      </c>
      <c r="G32" s="87">
        <f t="shared" si="4"/>
        <v>315</v>
      </c>
      <c r="H32" s="86">
        <f t="shared" si="5"/>
        <v>3.15</v>
      </c>
      <c r="I32" s="46">
        <f t="shared" si="6"/>
        <v>8877.3</v>
      </c>
      <c r="J32" s="159">
        <f>J4*D32</f>
        <v>8040</v>
      </c>
      <c r="K32" s="46">
        <v>8220</v>
      </c>
      <c r="L32" s="47" t="s">
        <v>99</v>
      </c>
      <c r="M32" s="79">
        <f t="shared" si="7"/>
        <v>-657.2999999999993</v>
      </c>
      <c r="N32" s="136">
        <f>-J32+K32-50*D32</f>
        <v>80</v>
      </c>
      <c r="O32" s="98">
        <f>X32+Z32</f>
        <v>8368</v>
      </c>
      <c r="P32" s="51"/>
      <c r="Q32" s="183">
        <f t="shared" si="1"/>
        <v>-509.2999999999993</v>
      </c>
      <c r="R32" s="50" t="s">
        <v>113</v>
      </c>
      <c r="S32" s="50" t="s">
        <v>113</v>
      </c>
      <c r="T32" s="51"/>
      <c r="U32" s="164" t="s">
        <v>268</v>
      </c>
      <c r="V32" s="164" t="s">
        <v>286</v>
      </c>
      <c r="W32" s="169">
        <v>0</v>
      </c>
      <c r="X32" s="169">
        <f t="shared" si="9"/>
        <v>4803</v>
      </c>
      <c r="Y32" s="154">
        <f t="shared" si="10"/>
        <v>-3237</v>
      </c>
      <c r="Z32" s="92">
        <v>3565</v>
      </c>
      <c r="AA32" s="154">
        <f>Z32+Y32</f>
        <v>328</v>
      </c>
      <c r="AB32" s="154">
        <f>Z32/D32</f>
        <v>1782.5</v>
      </c>
      <c r="AC32" s="174">
        <f>X32/D32+AB32</f>
        <v>4184</v>
      </c>
      <c r="AD32" s="90"/>
      <c r="AE32" s="9"/>
    </row>
    <row r="33" spans="1:31" ht="12.75">
      <c r="A33" s="75" t="s">
        <v>52</v>
      </c>
      <c r="B33" s="43" t="s">
        <v>54</v>
      </c>
      <c r="C33" s="43" t="s">
        <v>118</v>
      </c>
      <c r="D33" s="44">
        <v>2</v>
      </c>
      <c r="E33" s="45">
        <f t="shared" si="2"/>
        <v>4100</v>
      </c>
      <c r="F33" s="45">
        <f t="shared" si="3"/>
        <v>20.5</v>
      </c>
      <c r="G33" s="87">
        <f t="shared" si="4"/>
        <v>315</v>
      </c>
      <c r="H33" s="86">
        <f t="shared" si="5"/>
        <v>3.15</v>
      </c>
      <c r="I33" s="46">
        <f t="shared" si="6"/>
        <v>8877.3</v>
      </c>
      <c r="J33" s="159">
        <f>J4*D33</f>
        <v>8040</v>
      </c>
      <c r="K33" s="78">
        <v>8400</v>
      </c>
      <c r="L33" s="47" t="s">
        <v>102</v>
      </c>
      <c r="M33" s="79">
        <f t="shared" si="7"/>
        <v>-477.2999999999993</v>
      </c>
      <c r="N33" s="136">
        <f>-J33+K33-50*D33</f>
        <v>260</v>
      </c>
      <c r="O33" s="98">
        <f t="shared" si="8"/>
        <v>8305</v>
      </c>
      <c r="P33" s="51"/>
      <c r="Q33" s="182">
        <f t="shared" si="1"/>
        <v>-572.2999999999993</v>
      </c>
      <c r="R33" s="147" t="s">
        <v>31</v>
      </c>
      <c r="S33" s="50" t="s">
        <v>24</v>
      </c>
      <c r="T33" s="51" t="s">
        <v>136</v>
      </c>
      <c r="U33" s="164" t="s">
        <v>260</v>
      </c>
      <c r="V33" s="164" t="s">
        <v>191</v>
      </c>
      <c r="W33" s="169">
        <v>0</v>
      </c>
      <c r="X33" s="169">
        <f t="shared" si="9"/>
        <v>8305</v>
      </c>
      <c r="Y33" s="154">
        <f t="shared" si="10"/>
        <v>265</v>
      </c>
      <c r="Z33" s="154"/>
      <c r="AA33" s="154"/>
      <c r="AB33" s="154"/>
      <c r="AC33" s="174">
        <f t="shared" si="11"/>
        <v>4152.5</v>
      </c>
      <c r="AD33" s="90"/>
      <c r="AE33" s="9"/>
    </row>
    <row r="34" spans="1:31" ht="12.75">
      <c r="A34" s="110" t="s">
        <v>105</v>
      </c>
      <c r="B34" s="43" t="s">
        <v>53</v>
      </c>
      <c r="C34" s="43" t="s">
        <v>115</v>
      </c>
      <c r="D34" s="44">
        <v>4</v>
      </c>
      <c r="E34" s="45">
        <f t="shared" si="2"/>
        <v>4100</v>
      </c>
      <c r="F34" s="45">
        <f t="shared" si="3"/>
        <v>20.5</v>
      </c>
      <c r="G34" s="87">
        <f t="shared" si="4"/>
        <v>315</v>
      </c>
      <c r="H34" s="86">
        <f t="shared" si="5"/>
        <v>3.15</v>
      </c>
      <c r="I34" s="46">
        <f t="shared" si="6"/>
        <v>17754.6</v>
      </c>
      <c r="J34" s="159">
        <f>J4*D34</f>
        <v>16080</v>
      </c>
      <c r="K34" s="78">
        <v>16600</v>
      </c>
      <c r="L34" s="47" t="s">
        <v>102</v>
      </c>
      <c r="M34" s="79">
        <f t="shared" si="7"/>
        <v>-1154.5999999999985</v>
      </c>
      <c r="N34" s="136">
        <f>-J34+K34-50*D34</f>
        <v>320</v>
      </c>
      <c r="O34" s="98">
        <f t="shared" si="8"/>
        <v>16406</v>
      </c>
      <c r="P34" s="51" t="s">
        <v>136</v>
      </c>
      <c r="Q34" s="80">
        <f t="shared" si="1"/>
        <v>-1348.5999999999985</v>
      </c>
      <c r="R34" s="147" t="s">
        <v>31</v>
      </c>
      <c r="S34" s="50" t="s">
        <v>24</v>
      </c>
      <c r="T34" s="51" t="s">
        <v>135</v>
      </c>
      <c r="U34" s="164" t="s">
        <v>261</v>
      </c>
      <c r="V34" s="164" t="s">
        <v>192</v>
      </c>
      <c r="W34" s="169">
        <v>0</v>
      </c>
      <c r="X34" s="169">
        <f t="shared" si="9"/>
        <v>16406</v>
      </c>
      <c r="Y34" s="154">
        <f t="shared" si="10"/>
        <v>326</v>
      </c>
      <c r="Z34" s="154"/>
      <c r="AA34" s="154"/>
      <c r="AB34" s="154"/>
      <c r="AC34" s="174">
        <f t="shared" si="11"/>
        <v>4101.5</v>
      </c>
      <c r="AD34" s="90"/>
      <c r="AE34" s="9"/>
    </row>
    <row r="35" spans="1:31" ht="12.75">
      <c r="A35" s="75" t="s">
        <v>56</v>
      </c>
      <c r="B35" s="43" t="s">
        <v>55</v>
      </c>
      <c r="C35" s="43" t="s">
        <v>119</v>
      </c>
      <c r="D35" s="44">
        <v>18</v>
      </c>
      <c r="E35" s="45">
        <f t="shared" si="2"/>
        <v>4100</v>
      </c>
      <c r="F35" s="45">
        <f t="shared" si="3"/>
        <v>20.5</v>
      </c>
      <c r="G35" s="87">
        <f t="shared" si="4"/>
        <v>315</v>
      </c>
      <c r="H35" s="86">
        <f t="shared" si="5"/>
        <v>3.15</v>
      </c>
      <c r="I35" s="46">
        <f t="shared" si="6"/>
        <v>79895.7</v>
      </c>
      <c r="J35" s="159">
        <f>J4*D35</f>
        <v>72360</v>
      </c>
      <c r="K35" s="78">
        <v>75000</v>
      </c>
      <c r="L35" s="47" t="s">
        <v>102</v>
      </c>
      <c r="M35" s="79">
        <f t="shared" si="7"/>
        <v>-4895.699999999997</v>
      </c>
      <c r="N35" s="136">
        <f>-J35+K35-50*D35</f>
        <v>1740</v>
      </c>
      <c r="O35" s="98">
        <f t="shared" si="8"/>
        <v>73140</v>
      </c>
      <c r="P35" s="51" t="s">
        <v>136</v>
      </c>
      <c r="Q35" s="80">
        <f t="shared" si="1"/>
        <v>-6755.699999999997</v>
      </c>
      <c r="R35" s="50"/>
      <c r="S35" s="50"/>
      <c r="T35" s="51" t="s">
        <v>136</v>
      </c>
      <c r="U35" s="164" t="s">
        <v>258</v>
      </c>
      <c r="V35" s="164" t="s">
        <v>193</v>
      </c>
      <c r="W35" s="169">
        <v>0</v>
      </c>
      <c r="X35" s="169">
        <f t="shared" si="9"/>
        <v>73140</v>
      </c>
      <c r="Y35" s="154">
        <f t="shared" si="10"/>
        <v>780</v>
      </c>
      <c r="Z35" s="154"/>
      <c r="AA35" s="154"/>
      <c r="AB35" s="154"/>
      <c r="AC35" s="174">
        <f t="shared" si="11"/>
        <v>4063.3333333333335</v>
      </c>
      <c r="AD35" s="90"/>
      <c r="AE35" s="9"/>
    </row>
    <row r="36" spans="1:33" s="149" customFormat="1" ht="12.75">
      <c r="A36" s="110" t="s">
        <v>171</v>
      </c>
      <c r="B36" s="43"/>
      <c r="C36" s="43" t="s">
        <v>41</v>
      </c>
      <c r="D36" s="44">
        <v>12</v>
      </c>
      <c r="E36" s="45">
        <f t="shared" si="2"/>
        <v>4100</v>
      </c>
      <c r="F36" s="45">
        <f t="shared" si="3"/>
        <v>20.5</v>
      </c>
      <c r="G36" s="87">
        <f t="shared" si="4"/>
        <v>315</v>
      </c>
      <c r="H36" s="86">
        <f t="shared" si="5"/>
        <v>3.15</v>
      </c>
      <c r="I36" s="46">
        <f t="shared" si="6"/>
        <v>53263.799999999996</v>
      </c>
      <c r="J36" s="159">
        <f>J4*D36</f>
        <v>48240</v>
      </c>
      <c r="K36" s="46" t="s">
        <v>41</v>
      </c>
      <c r="L36" s="47" t="s">
        <v>102</v>
      </c>
      <c r="M36" s="97" t="e">
        <f t="shared" si="7"/>
        <v>#VALUE!</v>
      </c>
      <c r="N36" s="97"/>
      <c r="O36" s="98">
        <f t="shared" si="8"/>
        <v>45640</v>
      </c>
      <c r="P36" s="49"/>
      <c r="Q36" s="97">
        <f t="shared" si="1"/>
        <v>-7623.799999999996</v>
      </c>
      <c r="R36" s="148"/>
      <c r="S36" s="148" t="s">
        <v>24</v>
      </c>
      <c r="T36" s="49" t="s">
        <v>137</v>
      </c>
      <c r="U36" s="164" t="s">
        <v>258</v>
      </c>
      <c r="V36" s="164" t="s">
        <v>252</v>
      </c>
      <c r="W36" s="169">
        <v>0</v>
      </c>
      <c r="X36" s="169">
        <f t="shared" si="9"/>
        <v>45640</v>
      </c>
      <c r="Y36" s="154">
        <f t="shared" si="10"/>
        <v>-2600</v>
      </c>
      <c r="Z36" s="154"/>
      <c r="AA36" s="154"/>
      <c r="AB36" s="154"/>
      <c r="AC36" s="174">
        <f t="shared" si="11"/>
        <v>3803.3333333333335</v>
      </c>
      <c r="AD36" s="90"/>
      <c r="AE36" s="9"/>
      <c r="AF36" s="15"/>
      <c r="AG36" s="15"/>
    </row>
    <row r="37" spans="1:31" ht="12.75">
      <c r="A37" s="104" t="s">
        <v>18</v>
      </c>
      <c r="B37" s="64"/>
      <c r="C37" s="65"/>
      <c r="D37" s="66"/>
      <c r="E37" s="66"/>
      <c r="F37" s="66"/>
      <c r="G37" s="66"/>
      <c r="H37" s="67"/>
      <c r="I37" s="68"/>
      <c r="J37" s="68"/>
      <c r="K37" s="69"/>
      <c r="L37" s="69"/>
      <c r="M37" s="68"/>
      <c r="N37" s="68"/>
      <c r="O37" s="106"/>
      <c r="P37" s="68"/>
      <c r="Q37" s="106"/>
      <c r="R37" s="72"/>
      <c r="S37" s="72"/>
      <c r="T37" s="73"/>
      <c r="U37" s="73"/>
      <c r="V37" s="73"/>
      <c r="W37" s="71"/>
      <c r="X37" s="71"/>
      <c r="Y37" s="68"/>
      <c r="Z37" s="68"/>
      <c r="AA37" s="68"/>
      <c r="AB37" s="68"/>
      <c r="AC37" s="107"/>
      <c r="AD37" s="73"/>
      <c r="AE37" s="15"/>
    </row>
    <row r="38" spans="1:32" ht="12.75">
      <c r="A38" s="75" t="s">
        <v>90</v>
      </c>
      <c r="B38" s="43" t="s">
        <v>73</v>
      </c>
      <c r="C38" s="60" t="s">
        <v>91</v>
      </c>
      <c r="D38" s="44">
        <v>1</v>
      </c>
      <c r="E38" s="45">
        <f>$E$4-550</f>
        <v>3550</v>
      </c>
      <c r="F38" s="45">
        <f>$E38*0.5/100</f>
        <v>17.75</v>
      </c>
      <c r="G38" s="87">
        <f>$G$4</f>
        <v>315</v>
      </c>
      <c r="H38" s="86">
        <f>$G38*1/100</f>
        <v>3.15</v>
      </c>
      <c r="I38" s="46">
        <f aca="true" t="shared" si="12" ref="I38:I44">D38*(E38+F38+G38+H38)</f>
        <v>3885.9</v>
      </c>
      <c r="J38" s="159">
        <f>J6*D38</f>
        <v>4020</v>
      </c>
      <c r="K38" s="46">
        <f>3560+50</f>
        <v>3610</v>
      </c>
      <c r="L38" s="47" t="s">
        <v>103</v>
      </c>
      <c r="M38" s="180">
        <f aca="true" t="shared" si="13" ref="M38:M44">-I38+K38</f>
        <v>-275.9000000000001</v>
      </c>
      <c r="N38" s="136">
        <f>-J38+K38-50*D38</f>
        <v>-460</v>
      </c>
      <c r="O38" s="136">
        <f>8+435+532+Z38</f>
        <v>3104</v>
      </c>
      <c r="P38" s="90"/>
      <c r="Q38" s="80">
        <f t="shared" si="1"/>
        <v>-781.9000000000001</v>
      </c>
      <c r="R38" s="50"/>
      <c r="S38" s="50" t="s">
        <v>99</v>
      </c>
      <c r="T38" s="90" t="s">
        <v>41</v>
      </c>
      <c r="U38" s="164" t="s">
        <v>249</v>
      </c>
      <c r="V38" s="164" t="s">
        <v>278</v>
      </c>
      <c r="W38" s="169">
        <v>2</v>
      </c>
      <c r="X38" s="169">
        <f>U38+V38+W38</f>
        <v>804</v>
      </c>
      <c r="Y38" s="92"/>
      <c r="Z38" s="92">
        <f>1344+560+225</f>
        <v>2129</v>
      </c>
      <c r="AA38" s="185">
        <f>AB38+AC38+500</f>
        <v>3433</v>
      </c>
      <c r="AB38" s="192">
        <f>Z38/D38</f>
        <v>2129</v>
      </c>
      <c r="AC38" s="193">
        <f>X38/D38</f>
        <v>804</v>
      </c>
      <c r="AD38" s="190" t="s">
        <v>296</v>
      </c>
      <c r="AE38">
        <v>3948</v>
      </c>
      <c r="AF38" s="185">
        <f>AE38-3778</f>
        <v>170</v>
      </c>
    </row>
    <row r="39" spans="1:32" ht="12.75">
      <c r="A39" s="75" t="s">
        <v>3</v>
      </c>
      <c r="B39" s="43" t="s">
        <v>57</v>
      </c>
      <c r="C39" s="60" t="s">
        <v>7</v>
      </c>
      <c r="D39" s="61">
        <v>2</v>
      </c>
      <c r="E39" s="45">
        <f>$E$4</f>
        <v>4100</v>
      </c>
      <c r="F39" s="45">
        <f>$E39*0.5/100</f>
        <v>20.5</v>
      </c>
      <c r="G39" s="87">
        <f>$G$4</f>
        <v>315</v>
      </c>
      <c r="H39" s="86">
        <f>$G39*1/100</f>
        <v>3.15</v>
      </c>
      <c r="I39" s="46">
        <f t="shared" si="12"/>
        <v>8877.3</v>
      </c>
      <c r="J39" s="159">
        <f>4020*D39</f>
        <v>8040</v>
      </c>
      <c r="K39" s="78">
        <v>7420</v>
      </c>
      <c r="L39" s="47" t="s">
        <v>99</v>
      </c>
      <c r="M39" s="180">
        <f t="shared" si="13"/>
        <v>-1457.2999999999993</v>
      </c>
      <c r="N39" s="136">
        <f>-J39+K39-50*D39-500*D39</f>
        <v>-1720</v>
      </c>
      <c r="O39" s="89">
        <f>7406+Z39</f>
        <v>10882</v>
      </c>
      <c r="P39" s="90"/>
      <c r="Q39" s="80">
        <f t="shared" si="1"/>
        <v>2004.7000000000007</v>
      </c>
      <c r="R39" s="147" t="s">
        <v>31</v>
      </c>
      <c r="S39" s="50" t="s">
        <v>114</v>
      </c>
      <c r="T39" s="51"/>
      <c r="U39" s="164"/>
      <c r="V39" s="164" t="s">
        <v>279</v>
      </c>
      <c r="W39" s="169">
        <v>4</v>
      </c>
      <c r="X39" s="169">
        <f>U39+V39+W39</f>
        <v>1604</v>
      </c>
      <c r="Y39" s="92"/>
      <c r="Z39" s="92">
        <v>3476</v>
      </c>
      <c r="AA39" s="185">
        <f>AB39+AC39+500</f>
        <v>3040</v>
      </c>
      <c r="AB39" s="192">
        <f>Z39/D39</f>
        <v>1738</v>
      </c>
      <c r="AC39" s="194">
        <f>X39/D39</f>
        <v>802</v>
      </c>
      <c r="AD39" s="190" t="s">
        <v>307</v>
      </c>
      <c r="AE39">
        <v>3487</v>
      </c>
      <c r="AF39" s="185">
        <f>AE39-3778</f>
        <v>-291</v>
      </c>
    </row>
    <row r="40" spans="1:32" ht="12.75">
      <c r="A40" s="75" t="s">
        <v>98</v>
      </c>
      <c r="B40" s="43" t="s">
        <v>97</v>
      </c>
      <c r="C40" s="43" t="s">
        <v>19</v>
      </c>
      <c r="D40" s="44">
        <v>1</v>
      </c>
      <c r="E40" s="45">
        <f>$E$4</f>
        <v>4100</v>
      </c>
      <c r="F40" s="45">
        <f>$E40*0.5/100</f>
        <v>20.5</v>
      </c>
      <c r="G40" s="87">
        <f>$G$4</f>
        <v>315</v>
      </c>
      <c r="H40" s="86">
        <f>$G40*1/100</f>
        <v>3.15</v>
      </c>
      <c r="I40" s="46">
        <f t="shared" si="12"/>
        <v>4438.65</v>
      </c>
      <c r="J40" s="159">
        <f>J8*D40</f>
        <v>4020</v>
      </c>
      <c r="K40" s="46">
        <v>4110</v>
      </c>
      <c r="L40" s="47" t="s">
        <v>102</v>
      </c>
      <c r="M40" s="180">
        <f t="shared" si="13"/>
        <v>-328.64999999999964</v>
      </c>
      <c r="N40" s="136">
        <f>-J40+K40-50*D40-500*D40</f>
        <v>-460</v>
      </c>
      <c r="O40" s="89">
        <f>Z40+4110</f>
        <v>6575</v>
      </c>
      <c r="P40" s="90"/>
      <c r="Q40" s="80">
        <f t="shared" si="1"/>
        <v>2136.3500000000004</v>
      </c>
      <c r="R40" s="148"/>
      <c r="S40" s="148" t="s">
        <v>102</v>
      </c>
      <c r="T40" s="49"/>
      <c r="U40" s="164"/>
      <c r="V40" s="164" t="s">
        <v>280</v>
      </c>
      <c r="W40" s="169">
        <v>2</v>
      </c>
      <c r="X40" s="169">
        <f>U40+V40+W40</f>
        <v>812</v>
      </c>
      <c r="Y40" s="92"/>
      <c r="Z40" s="92">
        <f>1800+675-10</f>
        <v>2465</v>
      </c>
      <c r="AA40" s="185">
        <f>AB40+AC40+500</f>
        <v>3777</v>
      </c>
      <c r="AB40" s="192">
        <f>Z40/D40</f>
        <v>2465</v>
      </c>
      <c r="AC40" s="193">
        <f>X40/D40</f>
        <v>812</v>
      </c>
      <c r="AD40" s="190" t="s">
        <v>296</v>
      </c>
      <c r="AE40">
        <v>4292</v>
      </c>
      <c r="AF40" s="185">
        <f>AE40-3778</f>
        <v>514</v>
      </c>
    </row>
    <row r="41" spans="1:32" ht="12.75">
      <c r="A41" s="75" t="s">
        <v>170</v>
      </c>
      <c r="B41" s="114" t="s">
        <v>87</v>
      </c>
      <c r="C41" s="60" t="s">
        <v>86</v>
      </c>
      <c r="D41" s="44">
        <v>2</v>
      </c>
      <c r="E41" s="45">
        <f>$E$4</f>
        <v>4100</v>
      </c>
      <c r="F41" s="45">
        <f>$E41*0.5/100</f>
        <v>20.5</v>
      </c>
      <c r="G41" s="87"/>
      <c r="H41" s="86"/>
      <c r="I41" s="46">
        <f t="shared" si="12"/>
        <v>8241</v>
      </c>
      <c r="J41" s="159">
        <f>4020*D41</f>
        <v>8040</v>
      </c>
      <c r="K41" s="78">
        <f>3250*2</f>
        <v>6500</v>
      </c>
      <c r="L41" s="47" t="s">
        <v>103</v>
      </c>
      <c r="M41" s="180">
        <f t="shared" si="13"/>
        <v>-1741</v>
      </c>
      <c r="N41" s="136">
        <f>-J41+K41-50*D41-500*D41</f>
        <v>-2640</v>
      </c>
      <c r="O41" s="89">
        <f>Z41+6460</f>
        <v>9795</v>
      </c>
      <c r="P41" s="51"/>
      <c r="Q41" s="80">
        <f t="shared" si="1"/>
        <v>1554</v>
      </c>
      <c r="R41" s="147" t="s">
        <v>31</v>
      </c>
      <c r="S41" s="50" t="s">
        <v>172</v>
      </c>
      <c r="T41" s="51"/>
      <c r="U41" s="164"/>
      <c r="V41" s="164" t="s">
        <v>279</v>
      </c>
      <c r="W41" s="169">
        <v>4</v>
      </c>
      <c r="X41" s="169">
        <f>U41+V41+W41</f>
        <v>1604</v>
      </c>
      <c r="Y41" s="92"/>
      <c r="Z41" s="92">
        <v>3335</v>
      </c>
      <c r="AA41" s="185">
        <f>AB41+AC41+500</f>
        <v>2969.5</v>
      </c>
      <c r="AB41" s="192">
        <f>Z41/D41</f>
        <v>1667.5</v>
      </c>
      <c r="AC41" s="193">
        <f>X41/D41</f>
        <v>802</v>
      </c>
      <c r="AD41" s="190" t="s">
        <v>307</v>
      </c>
      <c r="AE41">
        <v>3416</v>
      </c>
      <c r="AF41" s="185">
        <f>AE41-3778</f>
        <v>-362</v>
      </c>
    </row>
    <row r="42" spans="1:30" s="15" customFormat="1" ht="12.75">
      <c r="A42" s="102" t="s">
        <v>169</v>
      </c>
      <c r="B42" s="133" t="s">
        <v>87</v>
      </c>
      <c r="C42" s="99" t="s">
        <v>86</v>
      </c>
      <c r="D42" s="85">
        <v>2</v>
      </c>
      <c r="E42" s="86"/>
      <c r="F42" s="86"/>
      <c r="G42" s="87">
        <f>$G$4</f>
        <v>315</v>
      </c>
      <c r="H42" s="86">
        <f>$G42*1/100</f>
        <v>3.15</v>
      </c>
      <c r="I42" s="88">
        <f t="shared" si="12"/>
        <v>636.3</v>
      </c>
      <c r="J42" s="88"/>
      <c r="K42" s="88">
        <f>310*2</f>
        <v>620</v>
      </c>
      <c r="L42" s="89" t="s">
        <v>103</v>
      </c>
      <c r="M42" s="180">
        <f t="shared" si="13"/>
        <v>-16.299999999999955</v>
      </c>
      <c r="N42" s="136"/>
      <c r="O42" s="179">
        <v>605</v>
      </c>
      <c r="P42" s="90"/>
      <c r="Q42" s="136">
        <f t="shared" si="1"/>
        <v>-31.299999999999955</v>
      </c>
      <c r="R42" s="91" t="s">
        <v>31</v>
      </c>
      <c r="S42" s="91" t="s">
        <v>172</v>
      </c>
      <c r="T42" s="90"/>
      <c r="U42" s="90"/>
      <c r="V42" s="90"/>
      <c r="W42" s="89"/>
      <c r="X42" s="89"/>
      <c r="Y42" s="92"/>
      <c r="Z42" s="92"/>
      <c r="AA42" s="185"/>
      <c r="AB42" s="192"/>
      <c r="AC42" s="193"/>
      <c r="AD42" s="190"/>
    </row>
    <row r="43" spans="1:32" ht="12.75">
      <c r="A43" s="75" t="s">
        <v>89</v>
      </c>
      <c r="B43" s="114" t="s">
        <v>87</v>
      </c>
      <c r="C43" s="60" t="s">
        <v>86</v>
      </c>
      <c r="D43" s="44">
        <v>2</v>
      </c>
      <c r="E43" s="45">
        <f>$E$4</f>
        <v>4100</v>
      </c>
      <c r="F43" s="45">
        <f>$E43*0.5/100</f>
        <v>20.5</v>
      </c>
      <c r="G43" s="87">
        <f>$G$4</f>
        <v>315</v>
      </c>
      <c r="H43" s="86">
        <f>$G43*1/100</f>
        <v>3.15</v>
      </c>
      <c r="I43" s="46">
        <f t="shared" si="12"/>
        <v>8877.3</v>
      </c>
      <c r="J43" s="159">
        <f>4020*D43</f>
        <v>8040</v>
      </c>
      <c r="K43" s="78">
        <f>3560*2</f>
        <v>7120</v>
      </c>
      <c r="L43" s="47" t="s">
        <v>103</v>
      </c>
      <c r="M43" s="180">
        <f t="shared" si="13"/>
        <v>-1757.2999999999993</v>
      </c>
      <c r="N43" s="136">
        <f>-J43+K43-50*D43-500*D43</f>
        <v>-2020</v>
      </c>
      <c r="O43" s="89">
        <f>Z43+13164</f>
        <v>16159</v>
      </c>
      <c r="P43" s="51"/>
      <c r="Q43" s="80">
        <f t="shared" si="1"/>
        <v>7281.700000000001</v>
      </c>
      <c r="R43" s="147" t="s">
        <v>31</v>
      </c>
      <c r="S43" s="50" t="s">
        <v>172</v>
      </c>
      <c r="T43" s="51"/>
      <c r="U43" s="164"/>
      <c r="V43" s="164" t="s">
        <v>279</v>
      </c>
      <c r="W43" s="169">
        <v>4</v>
      </c>
      <c r="X43" s="169">
        <f>U43+V43+W43</f>
        <v>1604</v>
      </c>
      <c r="Y43" s="92"/>
      <c r="Z43" s="92">
        <f>1700+1375-80</f>
        <v>2995</v>
      </c>
      <c r="AA43" s="185">
        <f>AB43+AC43+500</f>
        <v>2799.5</v>
      </c>
      <c r="AB43" s="192">
        <f>Z43/D43</f>
        <v>1497.5</v>
      </c>
      <c r="AC43" s="193">
        <f>X43/D43</f>
        <v>802</v>
      </c>
      <c r="AD43" s="190" t="s">
        <v>307</v>
      </c>
      <c r="AE43" s="15">
        <v>3246</v>
      </c>
      <c r="AF43" s="185">
        <f>AE43-3778</f>
        <v>-532</v>
      </c>
    </row>
    <row r="44" spans="1:32" ht="12.75">
      <c r="A44" s="115" t="s">
        <v>88</v>
      </c>
      <c r="B44" s="114" t="s">
        <v>87</v>
      </c>
      <c r="C44" s="60" t="s">
        <v>86</v>
      </c>
      <c r="D44" s="116">
        <v>3</v>
      </c>
      <c r="E44" s="45">
        <f>$E$4</f>
        <v>4100</v>
      </c>
      <c r="F44" s="45">
        <f>$E44*0.5/100</f>
        <v>20.5</v>
      </c>
      <c r="G44" s="87">
        <f>$G$4</f>
        <v>315</v>
      </c>
      <c r="H44" s="86">
        <f>$G44*1/100</f>
        <v>3.15</v>
      </c>
      <c r="I44" s="46">
        <f t="shared" si="12"/>
        <v>13315.949999999999</v>
      </c>
      <c r="J44" s="159">
        <f>4020*D44</f>
        <v>12060</v>
      </c>
      <c r="K44" s="117">
        <f>3560*3</f>
        <v>10680</v>
      </c>
      <c r="L44" s="47" t="s">
        <v>103</v>
      </c>
      <c r="M44" s="180">
        <f t="shared" si="13"/>
        <v>-2635.949999999999</v>
      </c>
      <c r="N44" s="136">
        <f>-J44+K44-50*D44-500*D44</f>
        <v>-3030</v>
      </c>
      <c r="O44" s="89">
        <f>Z44+10658</f>
        <v>13958</v>
      </c>
      <c r="P44" s="51"/>
      <c r="Q44" s="80">
        <f t="shared" si="1"/>
        <v>642.0500000000011</v>
      </c>
      <c r="R44" s="147" t="s">
        <v>31</v>
      </c>
      <c r="S44" s="119" t="s">
        <v>172</v>
      </c>
      <c r="T44" s="118"/>
      <c r="U44" s="165"/>
      <c r="V44" s="165" t="s">
        <v>281</v>
      </c>
      <c r="W44" s="171">
        <v>6</v>
      </c>
      <c r="X44" s="169">
        <f>U44+V44+W44</f>
        <v>2406</v>
      </c>
      <c r="Y44" s="120"/>
      <c r="Z44" s="120">
        <v>3300</v>
      </c>
      <c r="AA44" s="185">
        <f>AB44+AC44+500</f>
        <v>2402</v>
      </c>
      <c r="AB44" s="192">
        <f>Z44/D44</f>
        <v>1100</v>
      </c>
      <c r="AC44" s="195">
        <f>X44/D44</f>
        <v>802</v>
      </c>
      <c r="AD44" s="191" t="s">
        <v>296</v>
      </c>
      <c r="AE44" s="15">
        <v>2714</v>
      </c>
      <c r="AF44" s="185">
        <f>AE44-3778</f>
        <v>-1064</v>
      </c>
    </row>
    <row r="45" spans="1:31" ht="12.75">
      <c r="A45" s="104" t="s">
        <v>124</v>
      </c>
      <c r="B45" s="64"/>
      <c r="C45" s="65"/>
      <c r="D45" s="66"/>
      <c r="E45" s="66"/>
      <c r="F45" s="105"/>
      <c r="G45" s="66"/>
      <c r="H45" s="105"/>
      <c r="I45" s="68"/>
      <c r="J45" s="68"/>
      <c r="K45" s="68"/>
      <c r="L45" s="69"/>
      <c r="M45" s="68"/>
      <c r="N45" s="68"/>
      <c r="O45" s="106"/>
      <c r="P45" s="68"/>
      <c r="Q45" s="106"/>
      <c r="R45" s="72"/>
      <c r="S45" s="72"/>
      <c r="T45" s="73"/>
      <c r="U45" s="73"/>
      <c r="V45" s="73"/>
      <c r="W45" s="71"/>
      <c r="X45" s="71"/>
      <c r="Y45" s="68"/>
      <c r="Z45" s="68"/>
      <c r="AA45" s="68"/>
      <c r="AB45" s="68"/>
      <c r="AC45" s="107"/>
      <c r="AD45" s="73"/>
      <c r="AE45" s="15"/>
    </row>
    <row r="46" spans="1:31" ht="12.75">
      <c r="A46" s="102" t="s">
        <v>125</v>
      </c>
      <c r="B46" s="84"/>
      <c r="C46" s="84"/>
      <c r="D46" s="44">
        <v>1</v>
      </c>
      <c r="E46" s="45">
        <f>$E$4-550</f>
        <v>3550</v>
      </c>
      <c r="F46" s="45">
        <f>$E46*0.5/100</f>
        <v>17.75</v>
      </c>
      <c r="G46" s="87">
        <f>$G$4</f>
        <v>315</v>
      </c>
      <c r="H46" s="86">
        <f>$G46*1/100</f>
        <v>3.15</v>
      </c>
      <c r="I46" s="46">
        <f>D46*(E46+F46+G46+H46)</f>
        <v>3885.9</v>
      </c>
      <c r="J46" s="88"/>
      <c r="K46" s="78">
        <v>0</v>
      </c>
      <c r="L46" s="47" t="s">
        <v>100</v>
      </c>
      <c r="M46" s="79">
        <f>-I46+K46</f>
        <v>-3885.9</v>
      </c>
      <c r="N46" s="79"/>
      <c r="O46" s="89"/>
      <c r="P46" s="90"/>
      <c r="Q46" s="80">
        <f t="shared" si="1"/>
        <v>-3885.9</v>
      </c>
      <c r="R46" s="91"/>
      <c r="S46" s="91"/>
      <c r="T46" s="90"/>
      <c r="U46" s="90"/>
      <c r="V46" s="90"/>
      <c r="W46" s="89"/>
      <c r="X46" s="89"/>
      <c r="Y46" s="92"/>
      <c r="Z46" s="92"/>
      <c r="AA46" s="92"/>
      <c r="AB46" s="92"/>
      <c r="AC46" s="89"/>
      <c r="AD46" s="90"/>
      <c r="AE46" s="15"/>
    </row>
    <row r="47" spans="1:31" ht="12.75">
      <c r="A47" s="104" t="s">
        <v>25</v>
      </c>
      <c r="B47" s="121"/>
      <c r="C47" s="121"/>
      <c r="D47" s="122"/>
      <c r="E47" s="122"/>
      <c r="F47" s="123"/>
      <c r="G47" s="124"/>
      <c r="H47" s="122"/>
      <c r="I47" s="125"/>
      <c r="J47" s="125"/>
      <c r="K47" s="126"/>
      <c r="L47" s="126"/>
      <c r="M47" s="127"/>
      <c r="N47" s="127"/>
      <c r="O47" s="106"/>
      <c r="P47" s="127"/>
      <c r="Q47" s="106"/>
      <c r="R47" s="72"/>
      <c r="S47" s="129"/>
      <c r="T47" s="130"/>
      <c r="U47" s="130"/>
      <c r="V47" s="130"/>
      <c r="W47" s="128"/>
      <c r="X47" s="128"/>
      <c r="Y47" s="127"/>
      <c r="Z47" s="127"/>
      <c r="AA47" s="127"/>
      <c r="AB47" s="127"/>
      <c r="AC47" s="131"/>
      <c r="AD47" s="130"/>
      <c r="AE47" s="12"/>
    </row>
    <row r="48" spans="1:31" ht="12.75">
      <c r="A48" s="115" t="s">
        <v>93</v>
      </c>
      <c r="B48" s="114" t="s">
        <v>87</v>
      </c>
      <c r="C48" s="114" t="s">
        <v>92</v>
      </c>
      <c r="D48" s="116">
        <v>1</v>
      </c>
      <c r="E48" s="45">
        <f>$E$4</f>
        <v>4100</v>
      </c>
      <c r="F48" s="45">
        <f>$E48*0.5/100</f>
        <v>20.5</v>
      </c>
      <c r="G48" s="87">
        <f>$G$4</f>
        <v>315</v>
      </c>
      <c r="H48" s="86">
        <f>$G48*1/100</f>
        <v>3.15</v>
      </c>
      <c r="I48" s="46">
        <f>D48*(E48+F48+G48+H48)</f>
        <v>4438.65</v>
      </c>
      <c r="J48" s="159">
        <f>J4*D48</f>
        <v>4020</v>
      </c>
      <c r="K48" s="132">
        <v>4110</v>
      </c>
      <c r="L48" s="47" t="s">
        <v>103</v>
      </c>
      <c r="M48" s="79">
        <f>-I48+K48</f>
        <v>-328.64999999999964</v>
      </c>
      <c r="N48" s="136">
        <f aca="true" t="shared" si="14" ref="N48:N62">-J48+K48-50*D48</f>
        <v>40</v>
      </c>
      <c r="O48" s="98">
        <f>X48</f>
        <v>4090</v>
      </c>
      <c r="P48" s="118"/>
      <c r="Q48" s="80">
        <f t="shared" si="1"/>
        <v>-348.64999999999964</v>
      </c>
      <c r="R48" s="119"/>
      <c r="S48" s="119" t="s">
        <v>24</v>
      </c>
      <c r="T48" s="90" t="s">
        <v>41</v>
      </c>
      <c r="U48" s="164"/>
      <c r="V48" s="164" t="s">
        <v>194</v>
      </c>
      <c r="W48" s="171">
        <v>10</v>
      </c>
      <c r="X48" s="169">
        <f>U48+V48+W48</f>
        <v>4090</v>
      </c>
      <c r="Y48" s="154">
        <f>X48-J48</f>
        <v>70</v>
      </c>
      <c r="Z48" s="154"/>
      <c r="AA48" s="154"/>
      <c r="AB48" s="154"/>
      <c r="AC48" s="174">
        <f>X48/D48</f>
        <v>4090</v>
      </c>
      <c r="AD48" s="90"/>
      <c r="AE48" s="12"/>
    </row>
    <row r="49" spans="1:31" ht="12.75">
      <c r="A49" s="115" t="s">
        <v>94</v>
      </c>
      <c r="B49" s="114" t="s">
        <v>95</v>
      </c>
      <c r="C49" s="114" t="s">
        <v>96</v>
      </c>
      <c r="D49" s="116">
        <v>1</v>
      </c>
      <c r="E49" s="45">
        <f aca="true" t="shared" si="15" ref="E49:E62">$E$4</f>
        <v>4100</v>
      </c>
      <c r="F49" s="45">
        <f aca="true" t="shared" si="16" ref="F49:F58">$E49*0.5/100</f>
        <v>20.5</v>
      </c>
      <c r="G49" s="87">
        <f aca="true" t="shared" si="17" ref="G49:G62">$G$4</f>
        <v>315</v>
      </c>
      <c r="H49" s="86">
        <f aca="true" t="shared" si="18" ref="H49:H58">$G49*1/100</f>
        <v>3.15</v>
      </c>
      <c r="I49" s="46">
        <f aca="true" t="shared" si="19" ref="I49:I62">D49*(E49+F49+G49+H49)</f>
        <v>4438.65</v>
      </c>
      <c r="J49" s="159">
        <f>J4*D49</f>
        <v>4020</v>
      </c>
      <c r="K49" s="132">
        <f>4110+50</f>
        <v>4160</v>
      </c>
      <c r="L49" s="47" t="s">
        <v>103</v>
      </c>
      <c r="M49" s="79">
        <f>-I49+K49</f>
        <v>-278.64999999999964</v>
      </c>
      <c r="N49" s="136">
        <f t="shared" si="14"/>
        <v>90</v>
      </c>
      <c r="O49" s="98">
        <f aca="true" t="shared" si="20" ref="O49:O62">X49</f>
        <v>4092</v>
      </c>
      <c r="P49" s="118"/>
      <c r="Q49" s="80">
        <f t="shared" si="1"/>
        <v>-346.64999999999964</v>
      </c>
      <c r="R49" s="119"/>
      <c r="S49" s="119" t="s">
        <v>24</v>
      </c>
      <c r="T49" s="90" t="s">
        <v>41</v>
      </c>
      <c r="U49" s="164" t="s">
        <v>249</v>
      </c>
      <c r="V49" s="164" t="s">
        <v>194</v>
      </c>
      <c r="W49" s="171">
        <v>10</v>
      </c>
      <c r="X49" s="169">
        <f aca="true" t="shared" si="21" ref="X49:X62">U49+V49+W49</f>
        <v>4092</v>
      </c>
      <c r="Y49" s="154">
        <f aca="true" t="shared" si="22" ref="Y49:Y62">X49-J49</f>
        <v>72</v>
      </c>
      <c r="Z49" s="154"/>
      <c r="AA49" s="154"/>
      <c r="AB49" s="154"/>
      <c r="AC49" s="174">
        <f aca="true" t="shared" si="23" ref="AC49:AC62">X49/D49</f>
        <v>4092</v>
      </c>
      <c r="AD49" s="90"/>
      <c r="AE49" s="12"/>
    </row>
    <row r="50" spans="1:31" ht="12.75">
      <c r="A50" s="115" t="s">
        <v>34</v>
      </c>
      <c r="B50" s="114"/>
      <c r="C50" s="114" t="s">
        <v>35</v>
      </c>
      <c r="D50" s="116">
        <v>3</v>
      </c>
      <c r="E50" s="45">
        <f t="shared" si="15"/>
        <v>4100</v>
      </c>
      <c r="F50" s="45">
        <f t="shared" si="16"/>
        <v>20.5</v>
      </c>
      <c r="G50" s="87">
        <f t="shared" si="17"/>
        <v>315</v>
      </c>
      <c r="H50" s="86">
        <f t="shared" si="18"/>
        <v>3.15</v>
      </c>
      <c r="I50" s="46">
        <f t="shared" si="19"/>
        <v>13315.949999999999</v>
      </c>
      <c r="J50" s="159">
        <f>J4*D50</f>
        <v>12060</v>
      </c>
      <c r="K50" s="117" t="s">
        <v>116</v>
      </c>
      <c r="L50" s="134" t="s">
        <v>102</v>
      </c>
      <c r="M50" s="79"/>
      <c r="N50" s="136" t="e">
        <f t="shared" si="14"/>
        <v>#VALUE!</v>
      </c>
      <c r="O50" s="98">
        <f>X50+982+Z50</f>
        <v>12570</v>
      </c>
      <c r="P50" s="118"/>
      <c r="Q50" s="183">
        <f t="shared" si="1"/>
        <v>-745.9499999999989</v>
      </c>
      <c r="R50" s="119"/>
      <c r="S50" s="119" t="s">
        <v>24</v>
      </c>
      <c r="T50" s="118" t="s">
        <v>117</v>
      </c>
      <c r="U50" s="165" t="s">
        <v>267</v>
      </c>
      <c r="V50" s="165" t="s">
        <v>287</v>
      </c>
      <c r="W50" s="171">
        <v>0</v>
      </c>
      <c r="X50" s="169">
        <f t="shared" si="21"/>
        <v>10606</v>
      </c>
      <c r="Y50" s="154">
        <f t="shared" si="22"/>
        <v>-1454</v>
      </c>
      <c r="Z50" s="92">
        <v>982</v>
      </c>
      <c r="AA50" s="154">
        <f>Z50+Y50</f>
        <v>-472</v>
      </c>
      <c r="AB50" s="154">
        <f>Z50/D50</f>
        <v>327.3333333333333</v>
      </c>
      <c r="AC50" s="174">
        <f>X50/D50+AB25</f>
        <v>5956.333333333334</v>
      </c>
      <c r="AD50" s="118"/>
      <c r="AE50" s="12"/>
    </row>
    <row r="51" spans="1:31" ht="12.75">
      <c r="A51" s="115" t="s">
        <v>36</v>
      </c>
      <c r="B51" s="114"/>
      <c r="C51" s="114" t="s">
        <v>26</v>
      </c>
      <c r="D51" s="116">
        <v>3</v>
      </c>
      <c r="E51" s="45">
        <f t="shared" si="15"/>
        <v>4100</v>
      </c>
      <c r="F51" s="45">
        <f t="shared" si="16"/>
        <v>20.5</v>
      </c>
      <c r="G51" s="87">
        <f t="shared" si="17"/>
        <v>315</v>
      </c>
      <c r="H51" s="86">
        <f t="shared" si="18"/>
        <v>3.15</v>
      </c>
      <c r="I51" s="46">
        <f t="shared" si="19"/>
        <v>13315.949999999999</v>
      </c>
      <c r="J51" s="159">
        <f>J4*D51</f>
        <v>12060</v>
      </c>
      <c r="K51" s="117">
        <v>12300</v>
      </c>
      <c r="L51" s="134" t="s">
        <v>102</v>
      </c>
      <c r="M51" s="79">
        <f aca="true" t="shared" si="24" ref="M51:M62">-I51+K51</f>
        <v>-1015.9499999999989</v>
      </c>
      <c r="N51" s="136">
        <f t="shared" si="14"/>
        <v>90</v>
      </c>
      <c r="O51" s="98">
        <f t="shared" si="20"/>
        <v>9536</v>
      </c>
      <c r="P51" s="118"/>
      <c r="Q51" s="183">
        <f t="shared" si="1"/>
        <v>-3779.949999999999</v>
      </c>
      <c r="R51" s="119"/>
      <c r="S51" s="119" t="s">
        <v>24</v>
      </c>
      <c r="T51" s="118" t="s">
        <v>135</v>
      </c>
      <c r="U51" s="165" t="s">
        <v>261</v>
      </c>
      <c r="V51" s="165" t="s">
        <v>195</v>
      </c>
      <c r="W51" s="171">
        <v>0</v>
      </c>
      <c r="X51" s="169">
        <f t="shared" si="21"/>
        <v>9536</v>
      </c>
      <c r="Y51" s="184">
        <f t="shared" si="22"/>
        <v>-2524</v>
      </c>
      <c r="Z51" s="92">
        <v>0</v>
      </c>
      <c r="AA51" s="185">
        <f>Z51+Y51</f>
        <v>-2524</v>
      </c>
      <c r="AB51" s="92">
        <f>Z51/D51</f>
        <v>0</v>
      </c>
      <c r="AC51" s="89">
        <f t="shared" si="23"/>
        <v>3178.6666666666665</v>
      </c>
      <c r="AD51" s="118"/>
      <c r="AE51" s="12"/>
    </row>
    <row r="52" spans="1:31" ht="12.75">
      <c r="A52" s="115" t="s">
        <v>37</v>
      </c>
      <c r="B52" s="114"/>
      <c r="C52" s="114" t="s">
        <v>141</v>
      </c>
      <c r="D52" s="116">
        <v>6</v>
      </c>
      <c r="E52" s="45">
        <f t="shared" si="15"/>
        <v>4100</v>
      </c>
      <c r="F52" s="45">
        <f t="shared" si="16"/>
        <v>20.5</v>
      </c>
      <c r="G52" s="87">
        <f t="shared" si="17"/>
        <v>315</v>
      </c>
      <c r="H52" s="86">
        <f t="shared" si="18"/>
        <v>3.15</v>
      </c>
      <c r="I52" s="46">
        <f t="shared" si="19"/>
        <v>26631.899999999998</v>
      </c>
      <c r="J52" s="159">
        <f>J4*D52</f>
        <v>24120</v>
      </c>
      <c r="K52" s="117">
        <v>25000</v>
      </c>
      <c r="L52" s="134" t="s">
        <v>102</v>
      </c>
      <c r="M52" s="79">
        <f t="shared" si="24"/>
        <v>-1631.8999999999978</v>
      </c>
      <c r="N52" s="136">
        <f t="shared" si="14"/>
        <v>580</v>
      </c>
      <c r="O52" s="98">
        <f t="shared" si="20"/>
        <v>24000</v>
      </c>
      <c r="P52" s="118"/>
      <c r="Q52" s="80">
        <f t="shared" si="1"/>
        <v>-2631.899999999998</v>
      </c>
      <c r="R52" s="147" t="s">
        <v>31</v>
      </c>
      <c r="S52" s="119" t="s">
        <v>24</v>
      </c>
      <c r="T52" s="118"/>
      <c r="U52" s="165"/>
      <c r="V52" s="165" t="s">
        <v>196</v>
      </c>
      <c r="W52" s="171">
        <v>0</v>
      </c>
      <c r="X52" s="169">
        <f t="shared" si="21"/>
        <v>24000</v>
      </c>
      <c r="Y52" s="154">
        <f t="shared" si="22"/>
        <v>-120</v>
      </c>
      <c r="Z52" s="154"/>
      <c r="AA52" s="154"/>
      <c r="AB52" s="154"/>
      <c r="AC52" s="174">
        <f t="shared" si="23"/>
        <v>4000</v>
      </c>
      <c r="AD52" s="118"/>
      <c r="AE52" s="12"/>
    </row>
    <row r="53" spans="1:31" ht="12.75">
      <c r="A53" s="115" t="s">
        <v>38</v>
      </c>
      <c r="B53" s="114"/>
      <c r="C53" s="114" t="s">
        <v>27</v>
      </c>
      <c r="D53" s="116">
        <v>3</v>
      </c>
      <c r="E53" s="45">
        <f t="shared" si="15"/>
        <v>4100</v>
      </c>
      <c r="F53" s="45">
        <f t="shared" si="16"/>
        <v>20.5</v>
      </c>
      <c r="G53" s="87">
        <f t="shared" si="17"/>
        <v>315</v>
      </c>
      <c r="H53" s="86">
        <f t="shared" si="18"/>
        <v>3.15</v>
      </c>
      <c r="I53" s="46">
        <f t="shared" si="19"/>
        <v>13315.949999999999</v>
      </c>
      <c r="J53" s="159">
        <f>J4*D53</f>
        <v>12060</v>
      </c>
      <c r="K53" s="117">
        <v>12400</v>
      </c>
      <c r="L53" s="134" t="s">
        <v>102</v>
      </c>
      <c r="M53" s="79">
        <f t="shared" si="24"/>
        <v>-915.9499999999989</v>
      </c>
      <c r="N53" s="136">
        <f t="shared" si="14"/>
        <v>190</v>
      </c>
      <c r="O53" s="98">
        <f t="shared" si="20"/>
        <v>14306</v>
      </c>
      <c r="P53" s="118"/>
      <c r="Q53" s="182">
        <f t="shared" si="1"/>
        <v>990.0500000000011</v>
      </c>
      <c r="R53" s="119"/>
      <c r="S53" s="119" t="s">
        <v>24</v>
      </c>
      <c r="T53" s="118" t="s">
        <v>136</v>
      </c>
      <c r="U53" s="165" t="s">
        <v>261</v>
      </c>
      <c r="V53" s="165" t="s">
        <v>254</v>
      </c>
      <c r="W53" s="171">
        <v>2300</v>
      </c>
      <c r="X53" s="169">
        <f t="shared" si="21"/>
        <v>14306</v>
      </c>
      <c r="Y53" s="154">
        <f t="shared" si="22"/>
        <v>2246</v>
      </c>
      <c r="Z53" s="154"/>
      <c r="AA53" s="154"/>
      <c r="AB53" s="154"/>
      <c r="AC53" s="174">
        <f t="shared" si="23"/>
        <v>4768.666666666667</v>
      </c>
      <c r="AD53" s="118"/>
      <c r="AE53" s="12"/>
    </row>
    <row r="54" spans="1:31" ht="12.75">
      <c r="A54" s="115" t="s">
        <v>40</v>
      </c>
      <c r="B54" s="114"/>
      <c r="C54" s="114" t="s">
        <v>142</v>
      </c>
      <c r="D54" s="116">
        <v>1</v>
      </c>
      <c r="E54" s="45">
        <f t="shared" si="15"/>
        <v>4100</v>
      </c>
      <c r="F54" s="45">
        <f t="shared" si="16"/>
        <v>20.5</v>
      </c>
      <c r="G54" s="87">
        <f t="shared" si="17"/>
        <v>315</v>
      </c>
      <c r="H54" s="86">
        <f t="shared" si="18"/>
        <v>3.15</v>
      </c>
      <c r="I54" s="46">
        <f t="shared" si="19"/>
        <v>4438.65</v>
      </c>
      <c r="J54" s="159">
        <f>J4*D54</f>
        <v>4020</v>
      </c>
      <c r="K54" s="117">
        <v>4200</v>
      </c>
      <c r="L54" s="134" t="s">
        <v>102</v>
      </c>
      <c r="M54" s="79">
        <f t="shared" si="24"/>
        <v>-238.64999999999964</v>
      </c>
      <c r="N54" s="136">
        <f t="shared" si="14"/>
        <v>130</v>
      </c>
      <c r="O54" s="98">
        <f t="shared" si="20"/>
        <v>4200</v>
      </c>
      <c r="P54" s="118"/>
      <c r="Q54" s="182">
        <f t="shared" si="1"/>
        <v>-238.64999999999964</v>
      </c>
      <c r="R54" s="147" t="s">
        <v>31</v>
      </c>
      <c r="S54" s="119" t="s">
        <v>24</v>
      </c>
      <c r="T54" s="118"/>
      <c r="U54" s="165"/>
      <c r="V54" s="165" t="s">
        <v>200</v>
      </c>
      <c r="W54" s="171">
        <v>0</v>
      </c>
      <c r="X54" s="169">
        <f t="shared" si="21"/>
        <v>4200</v>
      </c>
      <c r="Y54" s="154">
        <f t="shared" si="22"/>
        <v>180</v>
      </c>
      <c r="Z54" s="154"/>
      <c r="AA54" s="154"/>
      <c r="AB54" s="154"/>
      <c r="AC54" s="174">
        <f t="shared" si="23"/>
        <v>4200</v>
      </c>
      <c r="AD54" s="118"/>
      <c r="AE54" s="12"/>
    </row>
    <row r="55" spans="1:31" ht="12.75">
      <c r="A55" s="110" t="s">
        <v>8</v>
      </c>
      <c r="B55" s="43" t="s">
        <v>5</v>
      </c>
      <c r="C55" s="76" t="s">
        <v>9</v>
      </c>
      <c r="D55" s="77">
        <v>2</v>
      </c>
      <c r="E55" s="45">
        <f t="shared" si="15"/>
        <v>4100</v>
      </c>
      <c r="F55" s="45">
        <f t="shared" si="16"/>
        <v>20.5</v>
      </c>
      <c r="G55" s="87">
        <f t="shared" si="17"/>
        <v>315</v>
      </c>
      <c r="H55" s="86">
        <f t="shared" si="18"/>
        <v>3.15</v>
      </c>
      <c r="I55" s="46">
        <f t="shared" si="19"/>
        <v>8877.3</v>
      </c>
      <c r="J55" s="159">
        <f>J4*D55</f>
        <v>8040</v>
      </c>
      <c r="K55" s="78">
        <v>8272</v>
      </c>
      <c r="L55" s="134" t="s">
        <v>104</v>
      </c>
      <c r="M55" s="79">
        <f t="shared" si="24"/>
        <v>-605.2999999999993</v>
      </c>
      <c r="N55" s="136">
        <f t="shared" si="14"/>
        <v>132</v>
      </c>
      <c r="O55" s="98">
        <f t="shared" si="20"/>
        <v>8204</v>
      </c>
      <c r="P55" s="51"/>
      <c r="Q55" s="80">
        <f t="shared" si="1"/>
        <v>-673.2999999999993</v>
      </c>
      <c r="R55" s="147"/>
      <c r="S55" s="119" t="s">
        <v>24</v>
      </c>
      <c r="T55" s="51"/>
      <c r="U55" s="164" t="s">
        <v>259</v>
      </c>
      <c r="V55" s="164"/>
      <c r="W55" s="169">
        <v>8200</v>
      </c>
      <c r="X55" s="169">
        <f t="shared" si="21"/>
        <v>8204</v>
      </c>
      <c r="Y55" s="154">
        <f t="shared" si="22"/>
        <v>164</v>
      </c>
      <c r="Z55" s="154"/>
      <c r="AA55" s="154"/>
      <c r="AB55" s="154"/>
      <c r="AC55" s="174">
        <f t="shared" si="23"/>
        <v>4102</v>
      </c>
      <c r="AD55" s="90"/>
      <c r="AE55" s="9"/>
    </row>
    <row r="56" spans="1:31" ht="12.75">
      <c r="A56" s="110" t="s">
        <v>10</v>
      </c>
      <c r="B56" s="43" t="s">
        <v>5</v>
      </c>
      <c r="C56" s="76" t="s">
        <v>11</v>
      </c>
      <c r="D56" s="77">
        <v>1</v>
      </c>
      <c r="E56" s="45">
        <f t="shared" si="15"/>
        <v>4100</v>
      </c>
      <c r="F56" s="45">
        <f t="shared" si="16"/>
        <v>20.5</v>
      </c>
      <c r="G56" s="87">
        <f t="shared" si="17"/>
        <v>315</v>
      </c>
      <c r="H56" s="86">
        <f t="shared" si="18"/>
        <v>3.15</v>
      </c>
      <c r="I56" s="46">
        <f t="shared" si="19"/>
        <v>4438.65</v>
      </c>
      <c r="J56" s="159">
        <f>J4*D56</f>
        <v>4020</v>
      </c>
      <c r="K56" s="78">
        <v>4136</v>
      </c>
      <c r="L56" s="47" t="s">
        <v>104</v>
      </c>
      <c r="M56" s="79">
        <f t="shared" si="24"/>
        <v>-302.64999999999964</v>
      </c>
      <c r="N56" s="136">
        <f t="shared" si="14"/>
        <v>66</v>
      </c>
      <c r="O56" s="98">
        <f t="shared" si="20"/>
        <v>4102</v>
      </c>
      <c r="P56" s="51"/>
      <c r="Q56" s="80">
        <f t="shared" si="1"/>
        <v>-336.64999999999964</v>
      </c>
      <c r="R56" s="147"/>
      <c r="S56" s="119" t="s">
        <v>24</v>
      </c>
      <c r="T56" s="51"/>
      <c r="U56" s="164" t="s">
        <v>249</v>
      </c>
      <c r="V56" s="164"/>
      <c r="W56" s="169">
        <v>4100</v>
      </c>
      <c r="X56" s="169">
        <f t="shared" si="21"/>
        <v>4102</v>
      </c>
      <c r="Y56" s="154">
        <f t="shared" si="22"/>
        <v>82</v>
      </c>
      <c r="Z56" s="154"/>
      <c r="AA56" s="154"/>
      <c r="AB56" s="154"/>
      <c r="AC56" s="174">
        <f t="shared" si="23"/>
        <v>4102</v>
      </c>
      <c r="AD56" s="90"/>
      <c r="AE56" s="9"/>
    </row>
    <row r="57" spans="1:31" ht="12.75">
      <c r="A57" s="110" t="s">
        <v>106</v>
      </c>
      <c r="B57" s="43" t="s">
        <v>5</v>
      </c>
      <c r="C57" s="76" t="s">
        <v>112</v>
      </c>
      <c r="D57" s="77">
        <v>1</v>
      </c>
      <c r="E57" s="45">
        <f t="shared" si="15"/>
        <v>4100</v>
      </c>
      <c r="F57" s="45">
        <f t="shared" si="16"/>
        <v>20.5</v>
      </c>
      <c r="G57" s="87">
        <f t="shared" si="17"/>
        <v>315</v>
      </c>
      <c r="H57" s="86">
        <f t="shared" si="18"/>
        <v>3.15</v>
      </c>
      <c r="I57" s="46">
        <f t="shared" si="19"/>
        <v>4438.65</v>
      </c>
      <c r="J57" s="159">
        <f>J4*D57</f>
        <v>4020</v>
      </c>
      <c r="K57" s="78">
        <v>4200</v>
      </c>
      <c r="L57" s="47" t="s">
        <v>104</v>
      </c>
      <c r="M57" s="79">
        <f t="shared" si="24"/>
        <v>-238.64999999999964</v>
      </c>
      <c r="N57" s="136">
        <f t="shared" si="14"/>
        <v>130</v>
      </c>
      <c r="O57" s="98">
        <f t="shared" si="20"/>
        <v>4102</v>
      </c>
      <c r="P57" s="51"/>
      <c r="Q57" s="80">
        <f t="shared" si="1"/>
        <v>-336.64999999999964</v>
      </c>
      <c r="R57" s="147"/>
      <c r="S57" s="119" t="s">
        <v>24</v>
      </c>
      <c r="T57" s="51"/>
      <c r="U57" s="164" t="s">
        <v>249</v>
      </c>
      <c r="V57" s="164" t="s">
        <v>199</v>
      </c>
      <c r="W57" s="169">
        <v>1800</v>
      </c>
      <c r="X57" s="169">
        <f t="shared" si="21"/>
        <v>4102</v>
      </c>
      <c r="Y57" s="154">
        <f t="shared" si="22"/>
        <v>82</v>
      </c>
      <c r="Z57" s="154"/>
      <c r="AA57" s="154"/>
      <c r="AB57" s="154"/>
      <c r="AC57" s="174">
        <f t="shared" si="23"/>
        <v>4102</v>
      </c>
      <c r="AD57" s="90"/>
      <c r="AE57" s="9"/>
    </row>
    <row r="58" spans="1:31" ht="12.75">
      <c r="A58" s="110" t="s">
        <v>107</v>
      </c>
      <c r="B58" s="43" t="s">
        <v>5</v>
      </c>
      <c r="C58" s="76" t="s">
        <v>12</v>
      </c>
      <c r="D58" s="77">
        <v>1</v>
      </c>
      <c r="E58" s="45">
        <f t="shared" si="15"/>
        <v>4100</v>
      </c>
      <c r="F58" s="45">
        <f t="shared" si="16"/>
        <v>20.5</v>
      </c>
      <c r="G58" s="87">
        <f t="shared" si="17"/>
        <v>315</v>
      </c>
      <c r="H58" s="86">
        <f t="shared" si="18"/>
        <v>3.15</v>
      </c>
      <c r="I58" s="46">
        <f>D58*(E58+F58+G58+H58)</f>
        <v>4438.65</v>
      </c>
      <c r="J58" s="159">
        <f>J4*D58</f>
        <v>4020</v>
      </c>
      <c r="K58" s="78">
        <v>4200</v>
      </c>
      <c r="L58" s="47" t="s">
        <v>104</v>
      </c>
      <c r="M58" s="79">
        <f t="shared" si="24"/>
        <v>-238.64999999999964</v>
      </c>
      <c r="N58" s="136">
        <f t="shared" si="14"/>
        <v>130</v>
      </c>
      <c r="O58" s="98">
        <f t="shared" si="20"/>
        <v>4102</v>
      </c>
      <c r="P58" s="51"/>
      <c r="Q58" s="80">
        <f t="shared" si="1"/>
        <v>-336.64999999999964</v>
      </c>
      <c r="R58" s="147"/>
      <c r="S58" s="119" t="s">
        <v>24</v>
      </c>
      <c r="T58" s="51"/>
      <c r="U58" s="164" t="s">
        <v>249</v>
      </c>
      <c r="V58" s="164"/>
      <c r="W58" s="169">
        <v>4100</v>
      </c>
      <c r="X58" s="169">
        <f t="shared" si="21"/>
        <v>4102</v>
      </c>
      <c r="Y58" s="154">
        <f t="shared" si="22"/>
        <v>82</v>
      </c>
      <c r="Z58" s="154"/>
      <c r="AA58" s="154"/>
      <c r="AB58" s="154"/>
      <c r="AC58" s="174">
        <f t="shared" si="23"/>
        <v>4102</v>
      </c>
      <c r="AD58" s="90"/>
      <c r="AE58" s="9"/>
    </row>
    <row r="59" spans="1:31" ht="12.75">
      <c r="A59" s="110" t="s">
        <v>108</v>
      </c>
      <c r="B59" s="43" t="s">
        <v>5</v>
      </c>
      <c r="C59" s="76" t="s">
        <v>111</v>
      </c>
      <c r="D59" s="77">
        <v>0.15</v>
      </c>
      <c r="E59" s="45">
        <f t="shared" si="15"/>
        <v>4100</v>
      </c>
      <c r="F59" s="45">
        <f>$E59*0.5/100</f>
        <v>20.5</v>
      </c>
      <c r="G59" s="87">
        <f t="shared" si="17"/>
        <v>315</v>
      </c>
      <c r="H59" s="86">
        <f>$G59*1/100</f>
        <v>3.15</v>
      </c>
      <c r="I59" s="46">
        <f t="shared" si="19"/>
        <v>665.7974999999999</v>
      </c>
      <c r="J59" s="159">
        <f>J4*D59</f>
        <v>603</v>
      </c>
      <c r="K59" s="78">
        <v>800</v>
      </c>
      <c r="L59" s="134" t="s">
        <v>104</v>
      </c>
      <c r="M59" s="79">
        <f t="shared" si="24"/>
        <v>134.2025000000001</v>
      </c>
      <c r="N59" s="136">
        <f t="shared" si="14"/>
        <v>189.5</v>
      </c>
      <c r="O59" s="98">
        <f t="shared" si="20"/>
        <v>800</v>
      </c>
      <c r="P59" s="51"/>
      <c r="Q59" s="182">
        <f t="shared" si="1"/>
        <v>134.2025000000001</v>
      </c>
      <c r="R59" s="147"/>
      <c r="S59" s="119" t="s">
        <v>24</v>
      </c>
      <c r="T59" s="51"/>
      <c r="U59" s="164"/>
      <c r="V59" s="164"/>
      <c r="W59" s="169">
        <v>800</v>
      </c>
      <c r="X59" s="169">
        <f t="shared" si="21"/>
        <v>800</v>
      </c>
      <c r="Y59" s="154">
        <f t="shared" si="22"/>
        <v>197</v>
      </c>
      <c r="Z59" s="154"/>
      <c r="AA59" s="154"/>
      <c r="AB59" s="154"/>
      <c r="AC59" s="174">
        <f t="shared" si="23"/>
        <v>5333.333333333334</v>
      </c>
      <c r="AD59" s="90"/>
      <c r="AE59" s="9"/>
    </row>
    <row r="60" spans="1:31" ht="12.75">
      <c r="A60" s="110" t="s">
        <v>110</v>
      </c>
      <c r="B60" s="43"/>
      <c r="C60" s="76" t="s">
        <v>109</v>
      </c>
      <c r="D60" s="77">
        <v>0.1</v>
      </c>
      <c r="E60" s="45">
        <f t="shared" si="15"/>
        <v>4100</v>
      </c>
      <c r="F60" s="45">
        <f>$E60*0.5/100</f>
        <v>20.5</v>
      </c>
      <c r="G60" s="87">
        <f t="shared" si="17"/>
        <v>315</v>
      </c>
      <c r="H60" s="86">
        <f>$G60*1/100</f>
        <v>3.15</v>
      </c>
      <c r="I60" s="46">
        <f>D60*(E60+F60+G60+H60)</f>
        <v>443.865</v>
      </c>
      <c r="J60" s="159">
        <f>J4*D60</f>
        <v>402</v>
      </c>
      <c r="K60" s="78">
        <v>280</v>
      </c>
      <c r="L60" s="134" t="s">
        <v>104</v>
      </c>
      <c r="M60" s="79">
        <f t="shared" si="24"/>
        <v>-163.865</v>
      </c>
      <c r="N60" s="136">
        <f t="shared" si="14"/>
        <v>-127</v>
      </c>
      <c r="O60" s="98">
        <f t="shared" si="20"/>
        <v>280</v>
      </c>
      <c r="P60" s="51"/>
      <c r="Q60" s="80">
        <f t="shared" si="1"/>
        <v>-163.865</v>
      </c>
      <c r="R60" s="147"/>
      <c r="S60" s="119" t="s">
        <v>24</v>
      </c>
      <c r="T60" s="51"/>
      <c r="U60" s="164"/>
      <c r="V60" s="164" t="s">
        <v>197</v>
      </c>
      <c r="W60" s="169">
        <v>140</v>
      </c>
      <c r="X60" s="169">
        <f t="shared" si="21"/>
        <v>280</v>
      </c>
      <c r="Y60" s="154">
        <f t="shared" si="22"/>
        <v>-122</v>
      </c>
      <c r="Z60" s="154"/>
      <c r="AA60" s="154"/>
      <c r="AB60" s="154"/>
      <c r="AC60" s="89">
        <f t="shared" si="23"/>
        <v>2800</v>
      </c>
      <c r="AD60" s="90"/>
      <c r="AE60" s="9"/>
    </row>
    <row r="61" spans="1:31" ht="12.75">
      <c r="A61" s="110" t="s">
        <v>13</v>
      </c>
      <c r="B61" s="43"/>
      <c r="C61" s="76"/>
      <c r="D61" s="77">
        <v>1</v>
      </c>
      <c r="E61" s="45">
        <f t="shared" si="15"/>
        <v>4100</v>
      </c>
      <c r="F61" s="45">
        <f>$E61*0.5/100</f>
        <v>20.5</v>
      </c>
      <c r="G61" s="87">
        <f t="shared" si="17"/>
        <v>315</v>
      </c>
      <c r="H61" s="86">
        <f>$G61*1/100</f>
        <v>3.15</v>
      </c>
      <c r="I61" s="46">
        <f t="shared" si="19"/>
        <v>4438.65</v>
      </c>
      <c r="J61" s="159">
        <f>J4*D61</f>
        <v>4020</v>
      </c>
      <c r="K61" s="78">
        <v>4250</v>
      </c>
      <c r="L61" s="47" t="s">
        <v>104</v>
      </c>
      <c r="M61" s="79">
        <f t="shared" si="24"/>
        <v>-188.64999999999964</v>
      </c>
      <c r="N61" s="136">
        <f t="shared" si="14"/>
        <v>180</v>
      </c>
      <c r="O61" s="98">
        <f t="shared" si="20"/>
        <v>4100</v>
      </c>
      <c r="P61" s="51"/>
      <c r="Q61" s="80">
        <f t="shared" si="1"/>
        <v>-338.64999999999964</v>
      </c>
      <c r="R61" s="147"/>
      <c r="S61" s="119" t="s">
        <v>24</v>
      </c>
      <c r="T61" s="51"/>
      <c r="U61" s="164"/>
      <c r="V61" s="164" t="s">
        <v>198</v>
      </c>
      <c r="W61" s="169">
        <v>3950</v>
      </c>
      <c r="X61" s="169">
        <f t="shared" si="21"/>
        <v>4100</v>
      </c>
      <c r="Y61" s="154">
        <f t="shared" si="22"/>
        <v>80</v>
      </c>
      <c r="Z61" s="154"/>
      <c r="AA61" s="154"/>
      <c r="AB61" s="154"/>
      <c r="AC61" s="174">
        <f t="shared" si="23"/>
        <v>4100</v>
      </c>
      <c r="AD61" s="90"/>
      <c r="AE61" s="9"/>
    </row>
    <row r="62" spans="1:31" ht="12.75">
      <c r="A62" s="110" t="s">
        <v>14</v>
      </c>
      <c r="B62" s="43"/>
      <c r="C62" s="76"/>
      <c r="D62" s="77">
        <v>1</v>
      </c>
      <c r="E62" s="45">
        <f t="shared" si="15"/>
        <v>4100</v>
      </c>
      <c r="F62" s="45">
        <f>$E62*0.5/100</f>
        <v>20.5</v>
      </c>
      <c r="G62" s="87">
        <f t="shared" si="17"/>
        <v>315</v>
      </c>
      <c r="H62" s="86">
        <f>$G62*1/100</f>
        <v>3.15</v>
      </c>
      <c r="I62" s="46">
        <f t="shared" si="19"/>
        <v>4438.65</v>
      </c>
      <c r="J62" s="159">
        <f>J4*D62</f>
        <v>4020</v>
      </c>
      <c r="K62" s="78">
        <v>4273</v>
      </c>
      <c r="L62" s="47" t="s">
        <v>104</v>
      </c>
      <c r="M62" s="79">
        <f t="shared" si="24"/>
        <v>-165.64999999999964</v>
      </c>
      <c r="N62" s="136">
        <f t="shared" si="14"/>
        <v>203</v>
      </c>
      <c r="O62" s="98">
        <f t="shared" si="20"/>
        <v>4100</v>
      </c>
      <c r="P62" s="51"/>
      <c r="Q62" s="80">
        <f>-I62+O62</f>
        <v>-338.64999999999964</v>
      </c>
      <c r="R62" s="147"/>
      <c r="S62" s="119" t="s">
        <v>24</v>
      </c>
      <c r="T62" s="51"/>
      <c r="U62" s="164"/>
      <c r="V62" s="164" t="s">
        <v>186</v>
      </c>
      <c r="W62" s="169">
        <v>4000</v>
      </c>
      <c r="X62" s="169">
        <f t="shared" si="21"/>
        <v>4100</v>
      </c>
      <c r="Y62" s="154">
        <f t="shared" si="22"/>
        <v>80</v>
      </c>
      <c r="Z62" s="154"/>
      <c r="AA62" s="154"/>
      <c r="AB62" s="154"/>
      <c r="AC62" s="174">
        <f t="shared" si="23"/>
        <v>4100</v>
      </c>
      <c r="AD62" s="90"/>
      <c r="AE62" s="9"/>
    </row>
    <row r="63" spans="1:31" ht="12.75">
      <c r="A63" s="104" t="s">
        <v>126</v>
      </c>
      <c r="B63" s="65"/>
      <c r="C63" s="65"/>
      <c r="D63" s="105"/>
      <c r="E63" s="66"/>
      <c r="F63" s="67"/>
      <c r="G63" s="67"/>
      <c r="H63" s="105"/>
      <c r="I63" s="68"/>
      <c r="J63" s="68"/>
      <c r="K63" s="69"/>
      <c r="L63" s="69"/>
      <c r="M63" s="68"/>
      <c r="N63" s="68"/>
      <c r="O63" s="106"/>
      <c r="P63" s="68"/>
      <c r="Q63" s="71"/>
      <c r="R63" s="72"/>
      <c r="S63" s="72"/>
      <c r="T63" s="73"/>
      <c r="U63" s="73"/>
      <c r="V63" s="73"/>
      <c r="W63" s="71"/>
      <c r="X63" s="71"/>
      <c r="Y63" s="68"/>
      <c r="Z63" s="68"/>
      <c r="AA63" s="68"/>
      <c r="AB63" s="68"/>
      <c r="AC63" s="107"/>
      <c r="AD63" s="73"/>
      <c r="AE63" s="15"/>
    </row>
    <row r="64" spans="1:31" ht="12.75">
      <c r="A64" s="111" t="s">
        <v>129</v>
      </c>
      <c r="B64" s="84"/>
      <c r="C64" s="135"/>
      <c r="D64" s="77">
        <v>1</v>
      </c>
      <c r="E64" s="45">
        <f>3482</f>
        <v>3482</v>
      </c>
      <c r="F64" s="45">
        <f>$E64*0.5/100</f>
        <v>17.41</v>
      </c>
      <c r="G64" s="87">
        <f>274</f>
        <v>274</v>
      </c>
      <c r="H64" s="86">
        <f>$G64*1/100</f>
        <v>2.74</v>
      </c>
      <c r="I64" s="46">
        <f>D64*(E64+F64+G64+H64)</f>
        <v>3776.1499999999996</v>
      </c>
      <c r="J64" s="46"/>
      <c r="K64" s="88"/>
      <c r="L64" s="89"/>
      <c r="M64" s="136"/>
      <c r="N64" s="136"/>
      <c r="O64" s="89"/>
      <c r="P64" s="90"/>
      <c r="Q64" s="136"/>
      <c r="R64" s="91"/>
      <c r="S64" s="91"/>
      <c r="T64" s="90"/>
      <c r="U64" s="90"/>
      <c r="V64" s="90"/>
      <c r="W64" s="89"/>
      <c r="X64" s="89"/>
      <c r="Y64" s="92"/>
      <c r="Z64" s="92"/>
      <c r="AA64" s="92"/>
      <c r="AB64" s="92"/>
      <c r="AC64" s="89"/>
      <c r="AD64" s="90"/>
      <c r="AE64" s="15"/>
    </row>
    <row r="65" spans="1:31" ht="12.75">
      <c r="A65" s="111" t="s">
        <v>127</v>
      </c>
      <c r="B65" s="84"/>
      <c r="C65" s="135"/>
      <c r="D65" s="77">
        <v>2</v>
      </c>
      <c r="E65" s="45">
        <f>3482</f>
        <v>3482</v>
      </c>
      <c r="F65" s="45">
        <f>$E65*0.5/100</f>
        <v>17.41</v>
      </c>
      <c r="G65" s="87">
        <f>274</f>
        <v>274</v>
      </c>
      <c r="H65" s="86">
        <f>$G65*1/100</f>
        <v>2.74</v>
      </c>
      <c r="I65" s="46">
        <f>D65*(E65+F65+G65+H65)</f>
        <v>7552.299999999999</v>
      </c>
      <c r="J65" s="46"/>
      <c r="K65" s="88"/>
      <c r="L65" s="89"/>
      <c r="M65" s="136"/>
      <c r="N65" s="136"/>
      <c r="O65" s="89"/>
      <c r="P65" s="90"/>
      <c r="Q65" s="136"/>
      <c r="R65" s="91"/>
      <c r="S65" s="91"/>
      <c r="T65" s="90"/>
      <c r="U65" s="90"/>
      <c r="V65" s="90"/>
      <c r="W65" s="89"/>
      <c r="X65" s="89"/>
      <c r="Y65" s="92"/>
      <c r="Z65" s="92"/>
      <c r="AA65" s="92"/>
      <c r="AB65" s="92"/>
      <c r="AC65" s="89"/>
      <c r="AD65" s="90"/>
      <c r="AE65" s="15"/>
    </row>
    <row r="66" spans="1:31" ht="12.75">
      <c r="A66" s="111" t="s">
        <v>128</v>
      </c>
      <c r="B66" s="84"/>
      <c r="C66" s="135"/>
      <c r="D66" s="77">
        <v>2</v>
      </c>
      <c r="E66" s="45">
        <f>3482</f>
        <v>3482</v>
      </c>
      <c r="F66" s="45">
        <f>$E66*0.5/100</f>
        <v>17.41</v>
      </c>
      <c r="G66" s="87">
        <f>274</f>
        <v>274</v>
      </c>
      <c r="H66" s="86">
        <f>$G66*1/100</f>
        <v>2.74</v>
      </c>
      <c r="I66" s="46">
        <f>D66*(E66+F66+G66+H66)</f>
        <v>7552.299999999999</v>
      </c>
      <c r="J66" s="46"/>
      <c r="K66" s="88"/>
      <c r="L66" s="89"/>
      <c r="M66" s="136"/>
      <c r="N66" s="136"/>
      <c r="O66" s="89"/>
      <c r="P66" s="90"/>
      <c r="Q66" s="136"/>
      <c r="R66" s="91"/>
      <c r="S66" s="91"/>
      <c r="T66" s="90"/>
      <c r="U66" s="90"/>
      <c r="V66" s="90"/>
      <c r="W66" s="89"/>
      <c r="X66" s="89"/>
      <c r="Y66" s="92"/>
      <c r="Z66" s="92"/>
      <c r="AA66" s="92"/>
      <c r="AB66" s="92"/>
      <c r="AC66" s="89"/>
      <c r="AD66" s="90"/>
      <c r="AE66" s="15"/>
    </row>
    <row r="67" spans="1:31" ht="12.75">
      <c r="A67" s="111" t="s">
        <v>130</v>
      </c>
      <c r="B67" s="84"/>
      <c r="C67" s="135"/>
      <c r="D67" s="137">
        <v>1</v>
      </c>
      <c r="E67" s="86" t="s">
        <v>41</v>
      </c>
      <c r="F67" s="86"/>
      <c r="G67" s="87"/>
      <c r="H67" s="86"/>
      <c r="I67" s="88" t="s">
        <v>41</v>
      </c>
      <c r="J67" s="88"/>
      <c r="K67" s="88"/>
      <c r="L67" s="89"/>
      <c r="M67" s="136"/>
      <c r="N67" s="136"/>
      <c r="O67" s="89"/>
      <c r="P67" s="90"/>
      <c r="Q67" s="136"/>
      <c r="R67" s="91"/>
      <c r="S67" s="91"/>
      <c r="T67" s="90"/>
      <c r="U67" s="90"/>
      <c r="V67" s="90"/>
      <c r="W67" s="89"/>
      <c r="X67" s="89"/>
      <c r="Y67" s="92"/>
      <c r="Z67" s="92"/>
      <c r="AA67" s="92"/>
      <c r="AB67" s="92"/>
      <c r="AC67" s="89"/>
      <c r="AD67" s="90"/>
      <c r="AE67" s="15"/>
    </row>
    <row r="68" spans="1:31" ht="12.75">
      <c r="A68" s="104" t="s">
        <v>76</v>
      </c>
      <c r="B68" s="65"/>
      <c r="C68" s="65"/>
      <c r="D68" s="105"/>
      <c r="E68" s="66"/>
      <c r="F68" s="67"/>
      <c r="G68" s="67"/>
      <c r="H68" s="105"/>
      <c r="I68" s="68"/>
      <c r="J68" s="68"/>
      <c r="K68" s="69"/>
      <c r="L68" s="69"/>
      <c r="M68" s="68"/>
      <c r="N68" s="68"/>
      <c r="O68" s="106"/>
      <c r="P68" s="68"/>
      <c r="Q68" s="71"/>
      <c r="R68" s="72"/>
      <c r="S68" s="72"/>
      <c r="T68" s="73"/>
      <c r="U68" s="73"/>
      <c r="V68" s="73"/>
      <c r="W68" s="71"/>
      <c r="X68" s="71"/>
      <c r="Y68" s="68"/>
      <c r="Z68" s="68"/>
      <c r="AA68" s="68"/>
      <c r="AB68" s="68"/>
      <c r="AC68" s="107"/>
      <c r="AD68" s="73"/>
      <c r="AE68" s="15"/>
    </row>
    <row r="69" spans="1:31" ht="12.75">
      <c r="A69" s="93" t="s">
        <v>75</v>
      </c>
      <c r="B69" s="43"/>
      <c r="C69" s="60"/>
      <c r="D69" s="44">
        <v>1</v>
      </c>
      <c r="E69" s="86"/>
      <c r="F69" s="86"/>
      <c r="G69" s="87">
        <f>$G$4</f>
        <v>315</v>
      </c>
      <c r="H69" s="86">
        <f>$G69*1/100</f>
        <v>3.15</v>
      </c>
      <c r="I69" s="46">
        <f>D69*(E69+F69+G69+H69)</f>
        <v>318.15</v>
      </c>
      <c r="J69" s="46"/>
      <c r="K69" s="57"/>
      <c r="L69" s="52"/>
      <c r="M69" s="79">
        <f>-I69+K69</f>
        <v>-318.15</v>
      </c>
      <c r="N69" s="79"/>
      <c r="O69" s="89"/>
      <c r="P69" s="51"/>
      <c r="Q69" s="52"/>
      <c r="R69" s="50"/>
      <c r="S69" s="50"/>
      <c r="T69" s="51"/>
      <c r="U69" s="90"/>
      <c r="V69" s="51"/>
      <c r="W69" s="52"/>
      <c r="X69" s="52"/>
      <c r="Y69" s="81"/>
      <c r="Z69" s="81"/>
      <c r="AA69" s="81"/>
      <c r="AB69" s="81"/>
      <c r="AC69" s="113"/>
      <c r="AD69" s="90"/>
      <c r="AE69" s="9"/>
    </row>
    <row r="70" spans="1:31" ht="12.75">
      <c r="A70" s="93" t="s">
        <v>77</v>
      </c>
      <c r="B70" s="84"/>
      <c r="C70" s="99"/>
      <c r="D70" s="85"/>
      <c r="E70" s="86"/>
      <c r="F70" s="86"/>
      <c r="G70" s="87"/>
      <c r="H70" s="86"/>
      <c r="I70" s="88"/>
      <c r="J70" s="88"/>
      <c r="K70" s="88"/>
      <c r="L70" s="89"/>
      <c r="M70" s="136"/>
      <c r="N70" s="136"/>
      <c r="O70" s="89"/>
      <c r="P70" s="90"/>
      <c r="Q70" s="52"/>
      <c r="R70" s="91"/>
      <c r="S70" s="91"/>
      <c r="T70" s="90"/>
      <c r="U70" s="90"/>
      <c r="V70" s="90"/>
      <c r="W70" s="89"/>
      <c r="X70" s="89"/>
      <c r="Y70" s="92"/>
      <c r="Z70" s="92"/>
      <c r="AA70" s="92"/>
      <c r="AB70" s="92"/>
      <c r="AC70" s="113"/>
      <c r="AD70" s="90"/>
      <c r="AE70" s="15"/>
    </row>
    <row r="71" spans="1:31" ht="12.75">
      <c r="A71" s="93" t="s">
        <v>78</v>
      </c>
      <c r="B71" s="84"/>
      <c r="C71" s="99"/>
      <c r="D71" s="85"/>
      <c r="E71" s="86"/>
      <c r="F71" s="86"/>
      <c r="G71" s="87"/>
      <c r="H71" s="86"/>
      <c r="I71" s="88"/>
      <c r="J71" s="88"/>
      <c r="K71" s="88"/>
      <c r="L71" s="89"/>
      <c r="M71" s="136"/>
      <c r="N71" s="136"/>
      <c r="O71" s="89"/>
      <c r="P71" s="90"/>
      <c r="Q71" s="52"/>
      <c r="R71" s="91"/>
      <c r="S71" s="91"/>
      <c r="T71" s="90"/>
      <c r="U71" s="90"/>
      <c r="V71" s="90"/>
      <c r="W71" s="89"/>
      <c r="X71" s="89"/>
      <c r="Y71" s="92"/>
      <c r="Z71" s="92"/>
      <c r="AA71" s="92"/>
      <c r="AB71" s="92"/>
      <c r="AC71" s="113"/>
      <c r="AD71" s="90"/>
      <c r="AE71" s="15"/>
    </row>
    <row r="72" spans="1:31" ht="12.75">
      <c r="A72" s="93" t="s">
        <v>82</v>
      </c>
      <c r="B72" s="84"/>
      <c r="C72" s="99"/>
      <c r="D72" s="85"/>
      <c r="E72" s="86"/>
      <c r="F72" s="86"/>
      <c r="G72" s="87"/>
      <c r="H72" s="86"/>
      <c r="I72" s="88"/>
      <c r="J72" s="88"/>
      <c r="K72" s="88"/>
      <c r="L72" s="89"/>
      <c r="M72" s="136"/>
      <c r="N72" s="136"/>
      <c r="O72" s="89"/>
      <c r="P72" s="90"/>
      <c r="Q72" s="52"/>
      <c r="R72" s="91"/>
      <c r="S72" s="91"/>
      <c r="T72" s="90"/>
      <c r="U72" s="90"/>
      <c r="V72" s="90"/>
      <c r="W72" s="89"/>
      <c r="X72" s="89"/>
      <c r="Y72" s="92"/>
      <c r="Z72" s="92"/>
      <c r="AA72" s="92"/>
      <c r="AB72" s="92"/>
      <c r="AC72" s="113"/>
      <c r="AD72" s="90"/>
      <c r="AE72" s="15"/>
    </row>
    <row r="73" spans="1:31" ht="12.75">
      <c r="A73" s="138" t="s">
        <v>1</v>
      </c>
      <c r="B73" s="139"/>
      <c r="C73" s="139"/>
      <c r="D73" s="140"/>
      <c r="E73" s="140"/>
      <c r="F73" s="140"/>
      <c r="G73" s="175"/>
      <c r="H73" s="176"/>
      <c r="I73" s="141">
        <f>SUM(I6:I72)</f>
        <v>1454024.562499999</v>
      </c>
      <c r="J73" s="141"/>
      <c r="K73" s="141">
        <f>SUM(K6:K72)</f>
        <v>1221651</v>
      </c>
      <c r="L73" s="142"/>
      <c r="M73" s="143" t="e">
        <f>SUM(M6:M72)</f>
        <v>#VALUE!</v>
      </c>
      <c r="N73" s="143"/>
      <c r="O73" s="142"/>
      <c r="P73" s="144"/>
      <c r="Q73" s="142"/>
      <c r="R73" s="145"/>
      <c r="S73" s="145"/>
      <c r="T73" s="144"/>
      <c r="U73" s="144"/>
      <c r="V73" s="144"/>
      <c r="W73" s="142">
        <f>SUM(W6:W72)</f>
        <v>34285</v>
      </c>
      <c r="X73" s="142"/>
      <c r="Y73" s="146">
        <f>SUM(Y6:Y72)</f>
        <v>-652117</v>
      </c>
      <c r="Z73" s="146"/>
      <c r="AA73" s="146"/>
      <c r="AB73" s="146"/>
      <c r="AC73" s="142"/>
      <c r="AD73" s="144"/>
      <c r="AE73" s="9"/>
    </row>
    <row r="74" spans="1:31" ht="12.75">
      <c r="A74" s="8"/>
      <c r="B74" s="30"/>
      <c r="C74" s="30"/>
      <c r="D74" s="28"/>
      <c r="E74" s="28"/>
      <c r="F74" s="28"/>
      <c r="G74" s="156"/>
      <c r="H74" s="156"/>
      <c r="I74" s="5"/>
      <c r="J74" s="5"/>
      <c r="K74" s="7"/>
      <c r="L74" s="6"/>
      <c r="M74" s="4"/>
      <c r="N74" s="4"/>
      <c r="O74" s="155"/>
      <c r="P74" s="4"/>
      <c r="Q74" s="23"/>
      <c r="R74" s="31"/>
      <c r="S74" s="31"/>
      <c r="T74" s="13"/>
      <c r="U74" s="168"/>
      <c r="V74" s="13"/>
      <c r="W74" s="23"/>
      <c r="X74" s="23"/>
      <c r="Y74" s="4"/>
      <c r="Z74" s="4"/>
      <c r="AA74" s="4"/>
      <c r="AB74" s="4"/>
      <c r="AC74" s="21"/>
      <c r="AD74" s="13"/>
      <c r="AE74" s="9"/>
    </row>
    <row r="75" spans="1:31" ht="12.75">
      <c r="A75" s="1"/>
      <c r="B75" s="30"/>
      <c r="C75" s="30"/>
      <c r="D75" s="28"/>
      <c r="E75" s="28"/>
      <c r="F75" s="28"/>
      <c r="G75" s="156"/>
      <c r="H75" s="157"/>
      <c r="I75" s="5"/>
      <c r="J75" s="5"/>
      <c r="K75" s="7"/>
      <c r="L75" s="7"/>
      <c r="M75" s="5"/>
      <c r="N75" s="5"/>
      <c r="O75" s="155"/>
      <c r="P75" s="5"/>
      <c r="Q75" s="23"/>
      <c r="R75" s="31"/>
      <c r="S75" s="31"/>
      <c r="T75" s="13"/>
      <c r="U75" s="168"/>
      <c r="V75" s="13"/>
      <c r="W75" s="23"/>
      <c r="X75" s="23"/>
      <c r="Y75" s="5"/>
      <c r="Z75" s="5"/>
      <c r="AA75" s="5"/>
      <c r="AB75" s="5"/>
      <c r="AC75" s="22"/>
      <c r="AD75" s="13"/>
      <c r="AE75" s="18"/>
    </row>
    <row r="76" spans="2:31" ht="12.75">
      <c r="B76" s="30"/>
      <c r="C76" s="30"/>
      <c r="D76" s="28"/>
      <c r="E76" s="28"/>
      <c r="F76" s="28"/>
      <c r="G76" s="156"/>
      <c r="H76" s="156"/>
      <c r="I76" s="5"/>
      <c r="J76" s="5"/>
      <c r="K76" s="7"/>
      <c r="L76" s="6"/>
      <c r="M76" s="4"/>
      <c r="N76" s="4"/>
      <c r="O76" s="155"/>
      <c r="P76" s="4"/>
      <c r="Q76" s="23"/>
      <c r="R76" s="31"/>
      <c r="S76" s="31"/>
      <c r="T76" s="13"/>
      <c r="U76" s="168"/>
      <c r="V76" s="13"/>
      <c r="W76" s="23"/>
      <c r="X76" s="23"/>
      <c r="Y76" s="4"/>
      <c r="Z76" s="4"/>
      <c r="AA76" s="4"/>
      <c r="AB76" s="4"/>
      <c r="AC76" s="21"/>
      <c r="AD76" s="13"/>
      <c r="AE76" s="9"/>
    </row>
    <row r="77" spans="2:31" ht="12.75">
      <c r="B77" s="30"/>
      <c r="C77" s="30"/>
      <c r="D77" s="28"/>
      <c r="E77" s="28"/>
      <c r="F77" s="28"/>
      <c r="G77" s="156"/>
      <c r="H77" s="156"/>
      <c r="I77" s="5"/>
      <c r="J77" s="5"/>
      <c r="K77" s="7"/>
      <c r="L77" s="6"/>
      <c r="M77" s="4"/>
      <c r="N77" s="4"/>
      <c r="O77" s="155"/>
      <c r="P77" s="4"/>
      <c r="Q77" s="23"/>
      <c r="R77" s="31"/>
      <c r="S77" s="31"/>
      <c r="T77" s="13"/>
      <c r="U77" s="168"/>
      <c r="V77" s="13"/>
      <c r="W77" s="23"/>
      <c r="X77" s="23"/>
      <c r="Y77" s="4"/>
      <c r="Z77" s="4"/>
      <c r="AA77" s="4"/>
      <c r="AB77" s="4"/>
      <c r="AC77" s="21"/>
      <c r="AD77" s="13"/>
      <c r="AE77" s="9"/>
    </row>
    <row r="78" spans="2:31" ht="12.75">
      <c r="B78" s="30"/>
      <c r="C78" s="30"/>
      <c r="D78" s="28"/>
      <c r="E78" s="28"/>
      <c r="F78" s="28"/>
      <c r="G78" s="156"/>
      <c r="H78" s="156"/>
      <c r="I78" s="5"/>
      <c r="J78" s="5"/>
      <c r="K78" s="7"/>
      <c r="L78" s="6"/>
      <c r="M78" s="4"/>
      <c r="N78" s="4"/>
      <c r="O78" s="155"/>
      <c r="P78" s="4"/>
      <c r="Q78" s="23"/>
      <c r="R78" s="31"/>
      <c r="S78" s="31"/>
      <c r="T78" s="13"/>
      <c r="U78" s="168"/>
      <c r="V78" s="13"/>
      <c r="W78" s="23"/>
      <c r="X78" s="23"/>
      <c r="Y78" s="4"/>
      <c r="Z78" s="4"/>
      <c r="AA78" s="4"/>
      <c r="AB78" s="4"/>
      <c r="AC78" s="21"/>
      <c r="AD78" s="13"/>
      <c r="AE78" s="8"/>
    </row>
    <row r="79" spans="2:31" ht="12.75">
      <c r="B79" s="30"/>
      <c r="C79" s="30"/>
      <c r="D79" s="29"/>
      <c r="E79" s="29"/>
      <c r="F79" s="29"/>
      <c r="G79" s="29"/>
      <c r="H79" s="156"/>
      <c r="I79" s="5"/>
      <c r="J79" s="5"/>
      <c r="K79" s="7"/>
      <c r="L79" s="6"/>
      <c r="M79" s="4"/>
      <c r="N79" s="4"/>
      <c r="O79" s="155"/>
      <c r="P79" s="4"/>
      <c r="Q79" s="23"/>
      <c r="R79" s="31"/>
      <c r="S79" s="31"/>
      <c r="T79" s="13"/>
      <c r="U79" s="168"/>
      <c r="V79" s="13"/>
      <c r="W79" s="23"/>
      <c r="X79" s="23"/>
      <c r="Y79" s="4"/>
      <c r="Z79" s="4"/>
      <c r="AA79" s="4"/>
      <c r="AB79" s="4"/>
      <c r="AC79" s="21"/>
      <c r="AD79" s="13"/>
      <c r="AE79" s="8"/>
    </row>
    <row r="80" spans="1:31" ht="12.75">
      <c r="A80" s="1"/>
      <c r="B80" s="30"/>
      <c r="C80" s="30"/>
      <c r="D80" s="28"/>
      <c r="E80" s="28"/>
      <c r="F80" s="28"/>
      <c r="G80" s="156"/>
      <c r="H80" s="156"/>
      <c r="I80" s="5"/>
      <c r="J80" s="5"/>
      <c r="K80" s="7"/>
      <c r="L80" s="6"/>
      <c r="M80" s="4"/>
      <c r="N80" s="4"/>
      <c r="O80" s="155"/>
      <c r="P80" s="4"/>
      <c r="Q80" s="23"/>
      <c r="R80" s="31"/>
      <c r="S80" s="31"/>
      <c r="T80" s="13"/>
      <c r="U80" s="168"/>
      <c r="V80" s="13"/>
      <c r="W80" s="23"/>
      <c r="X80" s="23"/>
      <c r="Y80" s="4"/>
      <c r="Z80" s="4"/>
      <c r="AA80" s="4"/>
      <c r="AB80" s="4"/>
      <c r="AC80" s="21"/>
      <c r="AD80" s="13"/>
      <c r="AE80" s="8"/>
    </row>
    <row r="81" spans="2:31" ht="12.75">
      <c r="B81" s="30"/>
      <c r="C81" s="30"/>
      <c r="D81" s="28"/>
      <c r="E81" s="28"/>
      <c r="F81" s="28"/>
      <c r="G81" s="156"/>
      <c r="H81" s="156"/>
      <c r="I81" s="5"/>
      <c r="J81" s="5"/>
      <c r="K81" s="7"/>
      <c r="L81" s="6"/>
      <c r="M81" s="4"/>
      <c r="N81" s="4"/>
      <c r="O81" s="155"/>
      <c r="P81" s="4"/>
      <c r="Q81" s="23"/>
      <c r="R81" s="31"/>
      <c r="S81" s="31"/>
      <c r="T81" s="13"/>
      <c r="U81" s="168"/>
      <c r="V81" s="13"/>
      <c r="W81" s="23"/>
      <c r="X81" s="23"/>
      <c r="Y81" s="4"/>
      <c r="Z81" s="4"/>
      <c r="AA81" s="4"/>
      <c r="AB81" s="4"/>
      <c r="AC81" s="21"/>
      <c r="AD81" s="13"/>
      <c r="AE81" s="8"/>
    </row>
    <row r="82" spans="2:31" ht="12.75">
      <c r="B82" s="30"/>
      <c r="C82" s="30"/>
      <c r="D82" s="28"/>
      <c r="E82" s="28"/>
      <c r="F82" s="28"/>
      <c r="G82" s="156"/>
      <c r="H82" s="156"/>
      <c r="I82" s="5"/>
      <c r="J82" s="5"/>
      <c r="K82" s="7"/>
      <c r="L82" s="6"/>
      <c r="M82" s="4"/>
      <c r="N82" s="4"/>
      <c r="O82" s="155"/>
      <c r="P82" s="4"/>
      <c r="Q82" s="23"/>
      <c r="R82" s="31"/>
      <c r="S82" s="31"/>
      <c r="T82" s="13"/>
      <c r="U82" s="168"/>
      <c r="V82" s="13"/>
      <c r="W82" s="23"/>
      <c r="X82" s="23"/>
      <c r="Y82" s="4"/>
      <c r="Z82" s="4"/>
      <c r="AA82" s="4"/>
      <c r="AB82" s="4"/>
      <c r="AC82" s="21"/>
      <c r="AD82" s="13"/>
      <c r="AE82" s="8"/>
    </row>
    <row r="83" spans="2:31" ht="12.75">
      <c r="B83" s="30"/>
      <c r="C83" s="30"/>
      <c r="D83" s="28"/>
      <c r="E83" s="28"/>
      <c r="F83" s="28"/>
      <c r="G83" s="156"/>
      <c r="H83" s="156"/>
      <c r="I83" s="5"/>
      <c r="J83" s="5"/>
      <c r="K83" s="7"/>
      <c r="L83" s="6"/>
      <c r="M83" s="4"/>
      <c r="N83" s="4"/>
      <c r="O83" s="155"/>
      <c r="P83" s="4"/>
      <c r="Q83" s="23"/>
      <c r="R83" s="31"/>
      <c r="S83" s="31"/>
      <c r="T83" s="13"/>
      <c r="U83" s="168"/>
      <c r="V83" s="13"/>
      <c r="W83" s="23"/>
      <c r="X83" s="23"/>
      <c r="Y83" s="4"/>
      <c r="Z83" s="4"/>
      <c r="AA83" s="4"/>
      <c r="AB83" s="4"/>
      <c r="AC83" s="21"/>
      <c r="AD83" s="13"/>
      <c r="AE83" s="8"/>
    </row>
    <row r="84" spans="2:31" ht="12.75">
      <c r="B84" s="30"/>
      <c r="C84" s="30"/>
      <c r="D84" s="28"/>
      <c r="E84" s="28"/>
      <c r="F84" s="28"/>
      <c r="G84" s="156"/>
      <c r="H84" s="156"/>
      <c r="I84" s="5"/>
      <c r="J84" s="5"/>
      <c r="K84" s="7"/>
      <c r="L84" s="6"/>
      <c r="M84" s="4"/>
      <c r="N84" s="4"/>
      <c r="O84" s="155"/>
      <c r="P84" s="4"/>
      <c r="Q84" s="23"/>
      <c r="R84" s="31"/>
      <c r="S84" s="31"/>
      <c r="T84" s="13"/>
      <c r="U84" s="168"/>
      <c r="V84" s="13"/>
      <c r="W84" s="23"/>
      <c r="X84" s="23"/>
      <c r="Y84" s="4"/>
      <c r="Z84" s="4"/>
      <c r="AA84" s="4"/>
      <c r="AB84" s="4"/>
      <c r="AC84" s="21"/>
      <c r="AD84" s="13"/>
      <c r="AE84" s="8"/>
    </row>
    <row r="85" spans="1:31" ht="12.75">
      <c r="A85" s="75" t="s">
        <v>79</v>
      </c>
      <c r="B85" s="60" t="s">
        <v>81</v>
      </c>
      <c r="C85" s="55" t="s">
        <v>41</v>
      </c>
      <c r="D85" s="44">
        <v>1</v>
      </c>
      <c r="E85" s="44">
        <v>50</v>
      </c>
      <c r="F85" s="56"/>
      <c r="G85" s="87"/>
      <c r="H85" s="86"/>
      <c r="I85" s="46">
        <f>D85*(E85+F85+G85+H85)</f>
        <v>50</v>
      </c>
      <c r="J85" s="46"/>
      <c r="K85" s="46">
        <v>50</v>
      </c>
      <c r="L85" s="94" t="s">
        <v>101</v>
      </c>
      <c r="M85" s="79">
        <f>-I85+K85</f>
        <v>0</v>
      </c>
      <c r="N85" s="79"/>
      <c r="O85" s="82">
        <v>50</v>
      </c>
      <c r="P85" s="96" t="s">
        <v>121</v>
      </c>
      <c r="Q85" s="97">
        <f>-K85+O85</f>
        <v>0</v>
      </c>
      <c r="R85" s="50" t="s">
        <v>31</v>
      </c>
      <c r="S85" s="50"/>
      <c r="T85" s="95"/>
      <c r="U85" s="108"/>
      <c r="V85" s="95"/>
      <c r="W85" s="41"/>
      <c r="X85" s="41"/>
      <c r="Y85" s="81"/>
      <c r="Z85" s="81"/>
      <c r="AA85" s="81"/>
      <c r="AB85" s="81"/>
      <c r="AC85" s="52"/>
      <c r="AD85" s="95"/>
      <c r="AE85" s="9"/>
    </row>
    <row r="86" spans="1:31" ht="12.75">
      <c r="A86" s="75" t="s">
        <v>80</v>
      </c>
      <c r="B86" s="60" t="s">
        <v>81</v>
      </c>
      <c r="C86" s="55" t="s">
        <v>41</v>
      </c>
      <c r="D86" s="44">
        <v>1</v>
      </c>
      <c r="E86" s="44">
        <v>50</v>
      </c>
      <c r="F86" s="56"/>
      <c r="G86" s="87"/>
      <c r="H86" s="86"/>
      <c r="I86" s="46">
        <f>D86*(E86+F86+G86+H86)</f>
        <v>50</v>
      </c>
      <c r="J86" s="46"/>
      <c r="K86" s="46">
        <v>50</v>
      </c>
      <c r="L86" s="94" t="s">
        <v>101</v>
      </c>
      <c r="M86" s="79">
        <f>-I86+K86</f>
        <v>0</v>
      </c>
      <c r="N86" s="79"/>
      <c r="O86" s="82">
        <v>50</v>
      </c>
      <c r="P86" s="96" t="s">
        <v>120</v>
      </c>
      <c r="Q86" s="97">
        <f>-K86+O86</f>
        <v>0</v>
      </c>
      <c r="R86" s="50" t="s">
        <v>31</v>
      </c>
      <c r="S86" s="50"/>
      <c r="T86" s="95"/>
      <c r="U86" s="108"/>
      <c r="V86" s="95"/>
      <c r="W86" s="41"/>
      <c r="X86" s="41"/>
      <c r="Y86" s="81"/>
      <c r="Z86" s="81"/>
      <c r="AA86" s="81"/>
      <c r="AB86" s="81"/>
      <c r="AC86" s="52"/>
      <c r="AD86" s="95"/>
      <c r="AE86" s="9"/>
    </row>
    <row r="87" spans="2:31" ht="12.75">
      <c r="B87" s="30"/>
      <c r="C87" s="30"/>
      <c r="D87" s="28"/>
      <c r="E87" s="28"/>
      <c r="F87" s="28"/>
      <c r="G87" s="156"/>
      <c r="H87" s="156"/>
      <c r="I87" s="5"/>
      <c r="J87" s="5"/>
      <c r="K87" s="7"/>
      <c r="L87" s="6"/>
      <c r="M87" s="4"/>
      <c r="N87" s="4"/>
      <c r="O87" s="155"/>
      <c r="P87" s="4"/>
      <c r="Q87" s="23"/>
      <c r="R87" s="31"/>
      <c r="S87" s="31"/>
      <c r="T87" s="13"/>
      <c r="U87" s="168"/>
      <c r="V87" s="13"/>
      <c r="W87" s="23"/>
      <c r="X87" s="23"/>
      <c r="Y87" s="4"/>
      <c r="Z87" s="4"/>
      <c r="AA87" s="4"/>
      <c r="AB87" s="4"/>
      <c r="AC87" s="21"/>
      <c r="AD87" s="13"/>
      <c r="AE87" s="8"/>
    </row>
    <row r="88" spans="2:31" ht="12.75">
      <c r="B88" s="30"/>
      <c r="C88" s="30"/>
      <c r="D88" s="28"/>
      <c r="E88" s="28"/>
      <c r="F88" s="28"/>
      <c r="G88" s="156"/>
      <c r="H88" s="156"/>
      <c r="I88" s="5"/>
      <c r="J88" s="5"/>
      <c r="K88" s="7"/>
      <c r="L88" s="6"/>
      <c r="M88" s="4"/>
      <c r="N88" s="4"/>
      <c r="O88" s="155"/>
      <c r="P88" s="4"/>
      <c r="Q88" s="23"/>
      <c r="R88" s="31"/>
      <c r="S88" s="31"/>
      <c r="T88" s="13"/>
      <c r="U88" s="168"/>
      <c r="V88" s="13"/>
      <c r="W88" s="23"/>
      <c r="X88" s="23"/>
      <c r="Y88" s="4"/>
      <c r="Z88" s="4"/>
      <c r="AA88" s="4"/>
      <c r="AB88" s="4"/>
      <c r="AC88" s="21"/>
      <c r="AD88" s="13"/>
      <c r="AE88" s="8"/>
    </row>
    <row r="89" spans="2:31" ht="12.75">
      <c r="B89" s="30"/>
      <c r="C89" s="30"/>
      <c r="D89" s="28"/>
      <c r="E89" s="28"/>
      <c r="F89" s="28"/>
      <c r="G89" s="156"/>
      <c r="H89" s="156"/>
      <c r="I89" s="5"/>
      <c r="J89" s="5"/>
      <c r="K89" s="7"/>
      <c r="L89" s="6"/>
      <c r="M89" s="4"/>
      <c r="N89" s="4"/>
      <c r="O89" s="155"/>
      <c r="P89" s="4"/>
      <c r="Q89" s="23"/>
      <c r="R89" s="31"/>
      <c r="S89" s="31"/>
      <c r="T89" s="13"/>
      <c r="U89" s="168"/>
      <c r="V89" s="13"/>
      <c r="W89" s="23"/>
      <c r="X89" s="23"/>
      <c r="Y89" s="4"/>
      <c r="Z89" s="4"/>
      <c r="AA89" s="4"/>
      <c r="AB89" s="4"/>
      <c r="AC89" s="21"/>
      <c r="AD89" s="13"/>
      <c r="AE89" s="8"/>
    </row>
    <row r="90" spans="2:31" ht="12.75">
      <c r="B90" s="30"/>
      <c r="C90" s="30"/>
      <c r="D90" s="28"/>
      <c r="E90" s="28"/>
      <c r="F90" s="28"/>
      <c r="G90" s="156"/>
      <c r="H90" s="156"/>
      <c r="I90" s="5"/>
      <c r="J90" s="5"/>
      <c r="K90" s="7"/>
      <c r="L90" s="6"/>
      <c r="M90" s="4"/>
      <c r="N90" s="4"/>
      <c r="O90" s="155"/>
      <c r="P90" s="4"/>
      <c r="Q90" s="23"/>
      <c r="R90" s="31"/>
      <c r="S90" s="31"/>
      <c r="T90" s="13"/>
      <c r="U90" s="168"/>
      <c r="V90" s="13"/>
      <c r="W90" s="23"/>
      <c r="X90" s="23"/>
      <c r="Y90" s="4"/>
      <c r="Z90" s="4"/>
      <c r="AA90" s="4"/>
      <c r="AB90" s="4"/>
      <c r="AC90" s="21"/>
      <c r="AD90" s="13"/>
      <c r="AE90" s="8"/>
    </row>
    <row r="91" spans="2:31" ht="12.75">
      <c r="B91" s="30"/>
      <c r="C91" s="30"/>
      <c r="D91" s="28"/>
      <c r="E91" s="28"/>
      <c r="F91" s="28"/>
      <c r="G91" s="156"/>
      <c r="H91" s="156"/>
      <c r="I91" s="5"/>
      <c r="J91" s="5"/>
      <c r="K91" s="7"/>
      <c r="L91" s="6"/>
      <c r="M91" s="4"/>
      <c r="N91" s="4"/>
      <c r="O91" s="155"/>
      <c r="P91" s="4"/>
      <c r="Q91" s="23"/>
      <c r="R91" s="31"/>
      <c r="S91" s="31"/>
      <c r="T91" s="13"/>
      <c r="U91" s="168"/>
      <c r="V91" s="13"/>
      <c r="W91" s="23"/>
      <c r="X91" s="23"/>
      <c r="Y91" s="4"/>
      <c r="Z91" s="4"/>
      <c r="AA91" s="4"/>
      <c r="AB91" s="4"/>
      <c r="AC91" s="21"/>
      <c r="AD91" s="13"/>
      <c r="AE91" s="8"/>
    </row>
    <row r="92" spans="2:31" ht="12.75">
      <c r="B92" s="30"/>
      <c r="C92" s="30"/>
      <c r="D92" s="28"/>
      <c r="E92" s="28"/>
      <c r="F92" s="28"/>
      <c r="G92" s="156"/>
      <c r="H92" s="156"/>
      <c r="I92" s="5"/>
      <c r="J92" s="5"/>
      <c r="K92" s="7"/>
      <c r="L92" s="6"/>
      <c r="M92" s="4"/>
      <c r="N92" s="4"/>
      <c r="O92" s="155"/>
      <c r="P92" s="4"/>
      <c r="Q92" s="23"/>
      <c r="R92" s="31"/>
      <c r="S92" s="31"/>
      <c r="T92" s="13"/>
      <c r="U92" s="168"/>
      <c r="V92" s="13"/>
      <c r="W92" s="23"/>
      <c r="X92" s="23"/>
      <c r="Y92" s="4"/>
      <c r="Z92" s="4"/>
      <c r="AA92" s="4"/>
      <c r="AB92" s="4"/>
      <c r="AC92" s="21"/>
      <c r="AD92" s="13"/>
      <c r="AE92" s="8"/>
    </row>
    <row r="93" spans="2:31" ht="12.75">
      <c r="B93" s="30"/>
      <c r="C93" s="30"/>
      <c r="D93" s="28"/>
      <c r="E93" s="28"/>
      <c r="F93" s="28"/>
      <c r="G93" s="156"/>
      <c r="H93" s="156"/>
      <c r="I93" s="5"/>
      <c r="J93" s="5"/>
      <c r="K93" s="7"/>
      <c r="L93" s="6"/>
      <c r="M93" s="4"/>
      <c r="N93" s="4"/>
      <c r="O93" s="155"/>
      <c r="P93" s="4"/>
      <c r="Q93" s="23"/>
      <c r="R93" s="31"/>
      <c r="S93" s="31"/>
      <c r="T93" s="13"/>
      <c r="U93" s="168"/>
      <c r="V93" s="13"/>
      <c r="W93" s="23"/>
      <c r="X93" s="23"/>
      <c r="Y93" s="4"/>
      <c r="Z93" s="4"/>
      <c r="AA93" s="4"/>
      <c r="AB93" s="4"/>
      <c r="AC93" s="21"/>
      <c r="AD93" s="13"/>
      <c r="AE93" s="8"/>
    </row>
    <row r="94" spans="1:31" ht="12.75">
      <c r="A94" s="1"/>
      <c r="B94" s="30"/>
      <c r="C94" s="30"/>
      <c r="D94" s="28"/>
      <c r="E94" s="28"/>
      <c r="F94" s="28"/>
      <c r="G94" s="156"/>
      <c r="H94" s="156"/>
      <c r="I94" s="5"/>
      <c r="J94" s="5"/>
      <c r="K94" s="7"/>
      <c r="L94" s="6"/>
      <c r="M94" s="4"/>
      <c r="N94" s="4"/>
      <c r="O94" s="155"/>
      <c r="P94" s="4"/>
      <c r="Q94" s="23"/>
      <c r="R94" s="31"/>
      <c r="S94" s="31"/>
      <c r="T94" s="13"/>
      <c r="U94" s="168"/>
      <c r="V94" s="13"/>
      <c r="W94" s="23"/>
      <c r="X94" s="23"/>
      <c r="Y94" s="4"/>
      <c r="Z94" s="4"/>
      <c r="AA94" s="4"/>
      <c r="AB94" s="4"/>
      <c r="AC94" s="21"/>
      <c r="AD94" s="13"/>
      <c r="AE94" s="8"/>
    </row>
    <row r="95" spans="2:31" ht="12.75">
      <c r="B95" s="30"/>
      <c r="C95" s="30"/>
      <c r="D95" s="28"/>
      <c r="E95" s="28"/>
      <c r="F95" s="28"/>
      <c r="G95" s="156"/>
      <c r="H95" s="156"/>
      <c r="I95" s="5"/>
      <c r="J95" s="5"/>
      <c r="K95" s="7"/>
      <c r="L95" s="6"/>
      <c r="M95" s="4"/>
      <c r="N95" s="4"/>
      <c r="O95" s="155"/>
      <c r="P95" s="4"/>
      <c r="Q95" s="23"/>
      <c r="R95" s="31"/>
      <c r="S95" s="31"/>
      <c r="T95" s="13"/>
      <c r="U95" s="168"/>
      <c r="V95" s="13"/>
      <c r="W95" s="23"/>
      <c r="X95" s="23"/>
      <c r="Y95" s="4"/>
      <c r="Z95" s="4"/>
      <c r="AA95" s="4"/>
      <c r="AB95" s="4"/>
      <c r="AC95" s="21"/>
      <c r="AD95" s="13"/>
      <c r="AE95" s="8"/>
    </row>
    <row r="96" spans="2:31" ht="12.75">
      <c r="B96" s="30"/>
      <c r="C96" s="30"/>
      <c r="D96" s="28"/>
      <c r="E96" s="28"/>
      <c r="F96" s="28"/>
      <c r="G96" s="156"/>
      <c r="H96" s="156"/>
      <c r="I96" s="5"/>
      <c r="J96" s="5"/>
      <c r="K96" s="7"/>
      <c r="L96" s="6"/>
      <c r="M96" s="4"/>
      <c r="N96" s="4"/>
      <c r="O96" s="155"/>
      <c r="P96" s="4"/>
      <c r="Q96" s="23"/>
      <c r="R96" s="31"/>
      <c r="S96" s="31"/>
      <c r="T96" s="13"/>
      <c r="U96" s="168"/>
      <c r="V96" s="13"/>
      <c r="W96" s="23"/>
      <c r="X96" s="23"/>
      <c r="Y96" s="4"/>
      <c r="Z96" s="4"/>
      <c r="AA96" s="4"/>
      <c r="AB96" s="4"/>
      <c r="AC96" s="21"/>
      <c r="AD96" s="13"/>
      <c r="AE96" s="8"/>
    </row>
    <row r="97" spans="2:31" ht="12.75">
      <c r="B97" s="30"/>
      <c r="C97" s="30"/>
      <c r="D97" s="28"/>
      <c r="E97" s="28"/>
      <c r="F97" s="28"/>
      <c r="G97" s="156"/>
      <c r="H97" s="156"/>
      <c r="I97" s="5"/>
      <c r="J97" s="5"/>
      <c r="K97" s="7"/>
      <c r="L97" s="6"/>
      <c r="M97" s="4"/>
      <c r="N97" s="4"/>
      <c r="O97" s="155"/>
      <c r="P97" s="4"/>
      <c r="Q97" s="23"/>
      <c r="R97" s="31"/>
      <c r="S97" s="31"/>
      <c r="T97" s="13"/>
      <c r="U97" s="168"/>
      <c r="V97" s="13"/>
      <c r="W97" s="23"/>
      <c r="X97" s="23"/>
      <c r="Y97" s="4"/>
      <c r="Z97" s="4"/>
      <c r="AA97" s="4"/>
      <c r="AB97" s="4"/>
      <c r="AC97" s="21"/>
      <c r="AD97" s="13"/>
      <c r="AE97" s="8"/>
    </row>
    <row r="98" spans="2:31" ht="12.75">
      <c r="B98" s="30"/>
      <c r="C98" s="30"/>
      <c r="D98" s="28"/>
      <c r="E98" s="28"/>
      <c r="F98" s="28"/>
      <c r="G98" s="156"/>
      <c r="H98" s="156"/>
      <c r="I98" s="5"/>
      <c r="J98" s="5"/>
      <c r="K98" s="7"/>
      <c r="L98" s="6"/>
      <c r="M98" s="4"/>
      <c r="N98" s="4"/>
      <c r="O98" s="155"/>
      <c r="P98" s="4"/>
      <c r="Q98" s="23"/>
      <c r="R98" s="31"/>
      <c r="S98" s="31"/>
      <c r="T98" s="13"/>
      <c r="U98" s="168"/>
      <c r="V98" s="13"/>
      <c r="W98" s="23"/>
      <c r="X98" s="23"/>
      <c r="Y98" s="4"/>
      <c r="Z98" s="4"/>
      <c r="AA98" s="4"/>
      <c r="AB98" s="4"/>
      <c r="AC98" s="21"/>
      <c r="AD98" s="13"/>
      <c r="AE98" s="8"/>
    </row>
    <row r="99" spans="2:31" ht="12.75">
      <c r="B99" s="30"/>
      <c r="C99" s="30"/>
      <c r="D99" s="28"/>
      <c r="E99" s="28"/>
      <c r="F99" s="28"/>
      <c r="G99" s="156"/>
      <c r="H99" s="156"/>
      <c r="I99" s="5"/>
      <c r="J99" s="5"/>
      <c r="K99" s="7"/>
      <c r="L99" s="6"/>
      <c r="M99" s="4"/>
      <c r="N99" s="4"/>
      <c r="O99" s="155"/>
      <c r="P99" s="4"/>
      <c r="Q99" s="23"/>
      <c r="R99" s="31"/>
      <c r="S99" s="31"/>
      <c r="T99" s="13"/>
      <c r="U99" s="168"/>
      <c r="V99" s="13"/>
      <c r="W99" s="23"/>
      <c r="X99" s="23"/>
      <c r="Y99" s="4"/>
      <c r="Z99" s="4"/>
      <c r="AA99" s="4"/>
      <c r="AB99" s="4"/>
      <c r="AC99" s="21"/>
      <c r="AD99" s="13"/>
      <c r="AE99" s="8"/>
    </row>
    <row r="100" spans="2:31" ht="12.75">
      <c r="B100" s="30"/>
      <c r="C100" s="30"/>
      <c r="D100" s="28"/>
      <c r="E100" s="28"/>
      <c r="F100" s="28"/>
      <c r="G100" s="156"/>
      <c r="H100" s="156"/>
      <c r="I100" s="5"/>
      <c r="J100" s="5"/>
      <c r="K100" s="7"/>
      <c r="L100" s="6"/>
      <c r="M100" s="4"/>
      <c r="N100" s="4"/>
      <c r="O100" s="155"/>
      <c r="P100" s="4"/>
      <c r="Q100" s="23"/>
      <c r="R100" s="31"/>
      <c r="S100" s="31"/>
      <c r="T100" s="13"/>
      <c r="U100" s="168"/>
      <c r="V100" s="13"/>
      <c r="W100" s="23"/>
      <c r="X100" s="23"/>
      <c r="Y100" s="4"/>
      <c r="Z100" s="4"/>
      <c r="AA100" s="4"/>
      <c r="AB100" s="4"/>
      <c r="AC100" s="21"/>
      <c r="AD100" s="13"/>
      <c r="AE100" s="8"/>
    </row>
    <row r="101" spans="2:31" ht="12.75">
      <c r="B101" s="30"/>
      <c r="C101" s="30"/>
      <c r="D101" s="28"/>
      <c r="E101" s="28"/>
      <c r="F101" s="28"/>
      <c r="G101" s="156"/>
      <c r="H101" s="156"/>
      <c r="I101" s="5"/>
      <c r="J101" s="5"/>
      <c r="K101" s="7"/>
      <c r="L101" s="6"/>
      <c r="M101" s="4"/>
      <c r="N101" s="4"/>
      <c r="O101" s="155"/>
      <c r="P101" s="4"/>
      <c r="Q101" s="23"/>
      <c r="R101" s="31"/>
      <c r="S101" s="31"/>
      <c r="T101" s="13"/>
      <c r="U101" s="168"/>
      <c r="V101" s="13"/>
      <c r="W101" s="23"/>
      <c r="X101" s="23"/>
      <c r="Y101" s="4"/>
      <c r="Z101" s="4"/>
      <c r="AA101" s="4"/>
      <c r="AB101" s="4"/>
      <c r="AC101" s="21"/>
      <c r="AD101" s="13"/>
      <c r="AE101" s="8"/>
    </row>
    <row r="102" spans="2:31" ht="12.75">
      <c r="B102" s="30"/>
      <c r="C102" s="30"/>
      <c r="D102" s="28"/>
      <c r="E102" s="28"/>
      <c r="F102" s="28"/>
      <c r="G102" s="156"/>
      <c r="H102" s="156"/>
      <c r="I102" s="5"/>
      <c r="J102" s="5"/>
      <c r="K102" s="7"/>
      <c r="L102" s="6"/>
      <c r="M102" s="4"/>
      <c r="N102" s="4"/>
      <c r="O102" s="155"/>
      <c r="P102" s="4"/>
      <c r="Q102" s="23"/>
      <c r="R102" s="31"/>
      <c r="S102" s="31"/>
      <c r="T102" s="13"/>
      <c r="U102" s="168"/>
      <c r="V102" s="13"/>
      <c r="W102" s="23"/>
      <c r="X102" s="23"/>
      <c r="Y102" s="4"/>
      <c r="Z102" s="4"/>
      <c r="AA102" s="4"/>
      <c r="AB102" s="4"/>
      <c r="AC102" s="21"/>
      <c r="AD102" s="13"/>
      <c r="AE102" s="8"/>
    </row>
    <row r="103" spans="2:31" ht="12.75">
      <c r="B103" s="30"/>
      <c r="C103" s="30"/>
      <c r="D103" s="28"/>
      <c r="E103" s="28"/>
      <c r="F103" s="28"/>
      <c r="G103" s="156"/>
      <c r="H103" s="156"/>
      <c r="I103" s="5"/>
      <c r="J103" s="5"/>
      <c r="K103" s="7"/>
      <c r="L103" s="6"/>
      <c r="M103" s="4"/>
      <c r="N103" s="4"/>
      <c r="O103" s="155"/>
      <c r="P103" s="4"/>
      <c r="Q103" s="23"/>
      <c r="R103" s="31"/>
      <c r="S103" s="31"/>
      <c r="T103" s="13"/>
      <c r="U103" s="168"/>
      <c r="V103" s="13"/>
      <c r="W103" s="23"/>
      <c r="X103" s="23"/>
      <c r="Y103" s="4"/>
      <c r="Z103" s="4"/>
      <c r="AA103" s="4"/>
      <c r="AB103" s="4"/>
      <c r="AC103" s="21"/>
      <c r="AD103" s="13"/>
      <c r="AE103" s="8"/>
    </row>
    <row r="104" spans="2:31" ht="12.75">
      <c r="B104" s="30"/>
      <c r="C104" s="30"/>
      <c r="D104" s="28"/>
      <c r="E104" s="28"/>
      <c r="F104" s="28"/>
      <c r="G104" s="156"/>
      <c r="H104" s="156"/>
      <c r="I104" s="5"/>
      <c r="J104" s="5"/>
      <c r="K104" s="7"/>
      <c r="L104" s="6"/>
      <c r="M104" s="4"/>
      <c r="N104" s="4"/>
      <c r="O104" s="155"/>
      <c r="P104" s="4"/>
      <c r="Q104" s="23"/>
      <c r="R104" s="31"/>
      <c r="S104" s="31"/>
      <c r="T104" s="13"/>
      <c r="U104" s="168"/>
      <c r="V104" s="13"/>
      <c r="W104" s="23"/>
      <c r="X104" s="23"/>
      <c r="Y104" s="4"/>
      <c r="Z104" s="4"/>
      <c r="AA104" s="4"/>
      <c r="AB104" s="4"/>
      <c r="AC104" s="21"/>
      <c r="AD104" s="13"/>
      <c r="AE104" s="8"/>
    </row>
    <row r="105" spans="2:31" ht="12.75">
      <c r="B105" s="30"/>
      <c r="C105" s="30"/>
      <c r="D105" s="28"/>
      <c r="E105" s="28"/>
      <c r="F105" s="28"/>
      <c r="G105" s="156"/>
      <c r="H105" s="156"/>
      <c r="I105" s="5"/>
      <c r="J105" s="5"/>
      <c r="K105" s="7"/>
      <c r="L105" s="6"/>
      <c r="M105" s="4"/>
      <c r="N105" s="4"/>
      <c r="O105" s="155"/>
      <c r="P105" s="4"/>
      <c r="Q105" s="23"/>
      <c r="R105" s="31"/>
      <c r="S105" s="31"/>
      <c r="T105" s="13"/>
      <c r="U105" s="168"/>
      <c r="V105" s="13"/>
      <c r="W105" s="23"/>
      <c r="X105" s="23"/>
      <c r="Y105" s="4"/>
      <c r="Z105" s="4"/>
      <c r="AA105" s="4"/>
      <c r="AB105" s="4"/>
      <c r="AC105" s="21"/>
      <c r="AD105" s="13"/>
      <c r="AE105" s="8"/>
    </row>
    <row r="106" spans="2:31" ht="12.75">
      <c r="B106" s="30"/>
      <c r="C106" s="30"/>
      <c r="D106" s="28"/>
      <c r="E106" s="28"/>
      <c r="F106" s="28"/>
      <c r="G106" s="156"/>
      <c r="H106" s="156"/>
      <c r="I106" s="5"/>
      <c r="J106" s="5"/>
      <c r="K106" s="7"/>
      <c r="L106" s="6"/>
      <c r="M106" s="4"/>
      <c r="N106" s="4"/>
      <c r="O106" s="155"/>
      <c r="P106" s="4"/>
      <c r="Q106" s="23"/>
      <c r="R106" s="31"/>
      <c r="S106" s="31"/>
      <c r="T106" s="13"/>
      <c r="U106" s="168"/>
      <c r="V106" s="13"/>
      <c r="W106" s="23"/>
      <c r="X106" s="23"/>
      <c r="Y106" s="4"/>
      <c r="Z106" s="4"/>
      <c r="AA106" s="4"/>
      <c r="AB106" s="4"/>
      <c r="AC106" s="21"/>
      <c r="AD106" s="13"/>
      <c r="AE106" s="8"/>
    </row>
    <row r="107" spans="2:31" ht="12.75">
      <c r="B107" s="30"/>
      <c r="C107" s="30"/>
      <c r="D107" s="28"/>
      <c r="E107" s="28"/>
      <c r="F107" s="28"/>
      <c r="G107" s="156"/>
      <c r="H107" s="156"/>
      <c r="I107" s="5"/>
      <c r="J107" s="5"/>
      <c r="K107" s="7"/>
      <c r="L107" s="6"/>
      <c r="M107" s="4"/>
      <c r="N107" s="4"/>
      <c r="O107" s="155"/>
      <c r="P107" s="4"/>
      <c r="Q107" s="23"/>
      <c r="R107" s="31"/>
      <c r="S107" s="31"/>
      <c r="T107" s="13"/>
      <c r="U107" s="168"/>
      <c r="V107" s="13"/>
      <c r="W107" s="23"/>
      <c r="X107" s="23"/>
      <c r="Y107" s="4"/>
      <c r="Z107" s="4"/>
      <c r="AA107" s="4"/>
      <c r="AB107" s="4"/>
      <c r="AC107" s="21"/>
      <c r="AD107" s="13"/>
      <c r="AE107" s="8"/>
    </row>
    <row r="108" spans="2:31" ht="12.75">
      <c r="B108" s="30"/>
      <c r="C108" s="30"/>
      <c r="D108" s="28"/>
      <c r="E108" s="28"/>
      <c r="F108" s="28"/>
      <c r="G108" s="156"/>
      <c r="H108" s="156"/>
      <c r="I108" s="5"/>
      <c r="J108" s="5"/>
      <c r="K108" s="7"/>
      <c r="L108" s="6"/>
      <c r="M108" s="4"/>
      <c r="N108" s="4"/>
      <c r="O108" s="155"/>
      <c r="P108" s="4"/>
      <c r="Q108" s="23"/>
      <c r="R108" s="31"/>
      <c r="S108" s="31"/>
      <c r="T108" s="13"/>
      <c r="U108" s="168"/>
      <c r="V108" s="13"/>
      <c r="W108" s="23"/>
      <c r="X108" s="23"/>
      <c r="Y108" s="4"/>
      <c r="Z108" s="4"/>
      <c r="AA108" s="4"/>
      <c r="AB108" s="4"/>
      <c r="AC108" s="21"/>
      <c r="AD108" s="13"/>
      <c r="AE108" s="8"/>
    </row>
    <row r="109" spans="15:21" ht="12.75">
      <c r="O109" s="15"/>
      <c r="U109" s="15"/>
    </row>
    <row r="110" spans="15:21" ht="12.75">
      <c r="O110" s="15"/>
      <c r="U110" s="15"/>
    </row>
    <row r="111" spans="15:21" ht="12.75">
      <c r="O111" s="15"/>
      <c r="U111" s="15"/>
    </row>
    <row r="112" spans="15:21" ht="12.75">
      <c r="O112" s="15"/>
      <c r="U112" s="15"/>
    </row>
    <row r="113" spans="15:21" ht="12.75">
      <c r="O113" s="15"/>
      <c r="U113" s="15"/>
    </row>
    <row r="114" spans="15:21" ht="12.75">
      <c r="O114" s="15"/>
      <c r="U114" s="15"/>
    </row>
    <row r="115" spans="15:21" ht="12.75">
      <c r="O115" s="15"/>
      <c r="U115" s="15"/>
    </row>
    <row r="116" spans="15:21" ht="12.75">
      <c r="O116" s="15"/>
      <c r="U116" s="15"/>
    </row>
    <row r="117" spans="15:21" ht="12.75">
      <c r="O117" s="15"/>
      <c r="U117" s="15"/>
    </row>
    <row r="118" spans="15:21" ht="12.75">
      <c r="O118" s="15"/>
      <c r="U118" s="15"/>
    </row>
    <row r="119" spans="15:21" ht="12.75">
      <c r="O119" s="15"/>
      <c r="U119" s="15"/>
    </row>
    <row r="120" spans="15:21" ht="12.75">
      <c r="O120" s="15"/>
      <c r="U120" s="15"/>
    </row>
    <row r="121" spans="15:21" ht="12.75">
      <c r="O121" s="15"/>
      <c r="U121" s="15"/>
    </row>
    <row r="122" spans="15:21" ht="12.75">
      <c r="O122" s="15"/>
      <c r="U122" s="15"/>
    </row>
    <row r="123" spans="15:21" ht="12.75">
      <c r="O123" s="15"/>
      <c r="U123" s="15"/>
    </row>
    <row r="124" spans="15:21" ht="12.75">
      <c r="O124" s="15"/>
      <c r="U124" s="15"/>
    </row>
    <row r="125" spans="15:21" ht="12.75">
      <c r="O125" s="15"/>
      <c r="U125" s="15"/>
    </row>
    <row r="126" spans="15:21" ht="12.75">
      <c r="O126" s="15"/>
      <c r="U126" s="15"/>
    </row>
    <row r="127" spans="15:21" ht="12.75">
      <c r="O127" s="15"/>
      <c r="U127" s="15"/>
    </row>
    <row r="128" spans="15:21" ht="12.75">
      <c r="O128" s="15"/>
      <c r="U128" s="15"/>
    </row>
    <row r="129" spans="15:21" ht="12.75">
      <c r="O129" s="15"/>
      <c r="U129" s="15"/>
    </row>
    <row r="130" spans="15:21" ht="12.75">
      <c r="O130" s="15"/>
      <c r="U130" s="15"/>
    </row>
    <row r="131" spans="15:21" ht="12.75">
      <c r="O131" s="15"/>
      <c r="U131" s="15"/>
    </row>
    <row r="132" spans="15:21" ht="12.75">
      <c r="O132" s="15"/>
      <c r="U132" s="15"/>
    </row>
    <row r="133" spans="15:21" ht="12.75">
      <c r="O133" s="15"/>
      <c r="U133" s="15"/>
    </row>
    <row r="134" spans="15:21" ht="12.75">
      <c r="O134" s="15"/>
      <c r="U134" s="15"/>
    </row>
    <row r="135" spans="15:21" ht="12.75">
      <c r="O135" s="15"/>
      <c r="U135" s="15"/>
    </row>
    <row r="136" spans="15:21" ht="12.75">
      <c r="O136" s="15"/>
      <c r="U136" s="15"/>
    </row>
    <row r="137" spans="15:21" ht="12.75">
      <c r="O137" s="15"/>
      <c r="U137" s="15"/>
    </row>
    <row r="138" spans="15:21" ht="12.75">
      <c r="O138" s="15"/>
      <c r="U138" s="15"/>
    </row>
    <row r="139" spans="15:21" ht="12.75">
      <c r="O139" s="15"/>
      <c r="U139" s="15"/>
    </row>
    <row r="140" spans="15:21" ht="12.75">
      <c r="O140" s="15"/>
      <c r="U140" s="15"/>
    </row>
    <row r="141" spans="15:21" ht="12.75">
      <c r="O141" s="15"/>
      <c r="U141" s="15"/>
    </row>
    <row r="142" spans="15:21" ht="12.75">
      <c r="O142" s="15"/>
      <c r="U142" s="15"/>
    </row>
    <row r="143" spans="15:21" ht="12.75">
      <c r="O143" s="15"/>
      <c r="U143" s="15"/>
    </row>
    <row r="144" spans="15:21" ht="12.75">
      <c r="O144" s="15"/>
      <c r="U144" s="15"/>
    </row>
    <row r="145" spans="15:21" ht="12.75">
      <c r="O145" s="15"/>
      <c r="U145" s="15"/>
    </row>
    <row r="146" spans="15:21" ht="12.75">
      <c r="O146" s="15"/>
      <c r="U146" s="15"/>
    </row>
    <row r="147" spans="15:21" ht="12.75">
      <c r="O147" s="15"/>
      <c r="U147" s="15"/>
    </row>
    <row r="148" spans="15:21" ht="12.75">
      <c r="O148" s="15"/>
      <c r="U148" s="15"/>
    </row>
    <row r="149" spans="15:21" ht="12.75">
      <c r="O149" s="15"/>
      <c r="U149" s="15"/>
    </row>
    <row r="150" spans="15:21" ht="12.75">
      <c r="O150" s="15"/>
      <c r="U150" s="15"/>
    </row>
    <row r="151" spans="15:21" ht="12.75">
      <c r="O151" s="15"/>
      <c r="U151" s="15"/>
    </row>
    <row r="152" spans="15:21" ht="12.75">
      <c r="O152" s="15"/>
      <c r="U152" s="15"/>
    </row>
    <row r="153" spans="15:21" ht="12.75">
      <c r="O153" s="15"/>
      <c r="U153" s="15"/>
    </row>
    <row r="154" spans="15:21" ht="12.75">
      <c r="O154" s="15"/>
      <c r="U154" s="15"/>
    </row>
    <row r="155" spans="15:21" ht="12.75">
      <c r="O155" s="15"/>
      <c r="U155" s="15"/>
    </row>
    <row r="156" spans="15:21" ht="12.75">
      <c r="O156" s="15"/>
      <c r="U156" s="15"/>
    </row>
    <row r="157" spans="15:21" ht="12.75">
      <c r="O157" s="15"/>
      <c r="U157" s="15"/>
    </row>
    <row r="158" spans="15:21" ht="12.75">
      <c r="O158" s="15"/>
      <c r="U158" s="15"/>
    </row>
    <row r="159" spans="15:21" ht="12.75">
      <c r="O159" s="15"/>
      <c r="U159" s="15"/>
    </row>
    <row r="160" spans="15:21" ht="12.75">
      <c r="O160" s="15"/>
      <c r="U160" s="15"/>
    </row>
    <row r="161" spans="15:21" ht="12.75">
      <c r="O161" s="15"/>
      <c r="U161" s="15"/>
    </row>
    <row r="162" spans="15:21" ht="12.75">
      <c r="O162" s="15"/>
      <c r="U162" s="15"/>
    </row>
    <row r="163" spans="15:21" ht="12.75">
      <c r="O163" s="15"/>
      <c r="U163" s="15"/>
    </row>
    <row r="164" spans="15:21" ht="12.75">
      <c r="O164" s="15"/>
      <c r="U164" s="15"/>
    </row>
    <row r="165" spans="15:21" ht="12.75">
      <c r="O165" s="15"/>
      <c r="U165" s="15"/>
    </row>
    <row r="166" spans="15:21" ht="12.75">
      <c r="O166" s="15"/>
      <c r="U166" s="15"/>
    </row>
    <row r="167" spans="15:21" ht="12.75">
      <c r="O167" s="15"/>
      <c r="U167" s="15"/>
    </row>
    <row r="168" spans="15:21" ht="12.75">
      <c r="O168" s="15"/>
      <c r="U168" s="15"/>
    </row>
    <row r="169" spans="15:21" ht="12.75">
      <c r="O169" s="15"/>
      <c r="U169" s="15"/>
    </row>
    <row r="170" spans="15:21" ht="12.75">
      <c r="O170" s="15"/>
      <c r="U170" s="15"/>
    </row>
    <row r="171" spans="15:21" ht="12.75">
      <c r="O171" s="15"/>
      <c r="U171" s="15"/>
    </row>
    <row r="172" spans="15:21" ht="12.75">
      <c r="O172" s="15"/>
      <c r="U172" s="15"/>
    </row>
    <row r="173" spans="15:21" ht="12.75">
      <c r="O173" s="15"/>
      <c r="U173" s="15"/>
    </row>
    <row r="174" spans="15:21" ht="12.75">
      <c r="O174" s="15"/>
      <c r="U174" s="15"/>
    </row>
    <row r="175" spans="15:21" ht="12.75">
      <c r="O175" s="15"/>
      <c r="U175" s="15"/>
    </row>
    <row r="176" spans="15:21" ht="12.75">
      <c r="O176" s="15"/>
      <c r="U176" s="15"/>
    </row>
    <row r="177" spans="15:21" ht="12.75">
      <c r="O177" s="15"/>
      <c r="U177" s="15"/>
    </row>
    <row r="178" spans="15:21" ht="12.75">
      <c r="O178" s="15"/>
      <c r="U178" s="15"/>
    </row>
    <row r="179" spans="15:21" ht="12.75">
      <c r="O179" s="15"/>
      <c r="U179" s="15"/>
    </row>
    <row r="180" spans="15:21" ht="12.75">
      <c r="O180" s="15"/>
      <c r="U180" s="15"/>
    </row>
    <row r="181" spans="15:21" ht="12.75">
      <c r="O181" s="15"/>
      <c r="U181" s="15"/>
    </row>
    <row r="182" spans="15:21" ht="12.75">
      <c r="O182" s="15"/>
      <c r="U182" s="15"/>
    </row>
    <row r="183" spans="15:21" ht="12.75">
      <c r="O183" s="15"/>
      <c r="U183" s="15"/>
    </row>
    <row r="184" spans="15:21" ht="12.75">
      <c r="O184" s="15"/>
      <c r="U184" s="15"/>
    </row>
    <row r="185" spans="15:21" ht="12.75">
      <c r="O185" s="15"/>
      <c r="U185" s="15"/>
    </row>
    <row r="186" spans="15:21" ht="12.75">
      <c r="O186" s="15"/>
      <c r="U186" s="15"/>
    </row>
    <row r="187" spans="15:21" ht="12.75">
      <c r="O187" s="15"/>
      <c r="U187" s="15"/>
    </row>
    <row r="188" spans="15:21" ht="12.75">
      <c r="O188" s="15"/>
      <c r="U188" s="15"/>
    </row>
    <row r="189" spans="15:21" ht="12.75">
      <c r="O189" s="15"/>
      <c r="U189" s="15"/>
    </row>
    <row r="190" spans="15:21" ht="12.75">
      <c r="O190" s="15"/>
      <c r="U190" s="15"/>
    </row>
    <row r="191" spans="15:21" ht="12.75">
      <c r="O191" s="15"/>
      <c r="U191" s="15"/>
    </row>
    <row r="192" spans="15:21" ht="12.75">
      <c r="O192" s="15"/>
      <c r="U192" s="15"/>
    </row>
    <row r="193" spans="15:21" ht="12.75">
      <c r="O193" s="15"/>
      <c r="U193" s="15"/>
    </row>
    <row r="194" spans="15:21" ht="12.75">
      <c r="O194" s="15"/>
      <c r="U194" s="15"/>
    </row>
    <row r="195" spans="15:21" ht="12.75">
      <c r="O195" s="15"/>
      <c r="U195" s="15"/>
    </row>
    <row r="196" spans="15:21" ht="12.75">
      <c r="O196" s="15"/>
      <c r="U196" s="15"/>
    </row>
    <row r="197" spans="15:21" ht="12.75">
      <c r="O197" s="15"/>
      <c r="U197" s="15"/>
    </row>
    <row r="198" spans="15:21" ht="12.75">
      <c r="O198" s="15"/>
      <c r="U198" s="15"/>
    </row>
    <row r="199" spans="15:21" ht="12.75">
      <c r="O199" s="15"/>
      <c r="U199" s="15"/>
    </row>
    <row r="200" spans="15:21" ht="12.75">
      <c r="O200" s="15"/>
      <c r="U200" s="15"/>
    </row>
    <row r="201" spans="15:21" ht="12.75">
      <c r="O201" s="15"/>
      <c r="U201" s="15"/>
    </row>
    <row r="202" spans="15:21" ht="12.75">
      <c r="O202" s="15"/>
      <c r="U202" s="15"/>
    </row>
    <row r="203" spans="15:21" ht="12.75">
      <c r="O203" s="15"/>
      <c r="U203" s="15"/>
    </row>
    <row r="204" spans="15:21" ht="12.75">
      <c r="O204" s="15"/>
      <c r="U204" s="15"/>
    </row>
    <row r="205" spans="15:21" ht="12.75">
      <c r="O205" s="15"/>
      <c r="U205" s="15"/>
    </row>
    <row r="206" spans="15:21" ht="12.75">
      <c r="O206" s="15"/>
      <c r="U206" s="15"/>
    </row>
    <row r="207" spans="15:21" ht="12.75">
      <c r="O207" s="15"/>
      <c r="U207" s="15"/>
    </row>
    <row r="208" spans="15:21" ht="12.75">
      <c r="O208" s="15"/>
      <c r="U208" s="15"/>
    </row>
    <row r="209" spans="15:21" ht="12.75">
      <c r="O209" s="15"/>
      <c r="U209" s="15"/>
    </row>
    <row r="210" spans="15:21" ht="12.75">
      <c r="O210" s="15"/>
      <c r="U210" s="15"/>
    </row>
    <row r="211" spans="15:21" ht="12.75">
      <c r="O211" s="15"/>
      <c r="U211" s="15"/>
    </row>
    <row r="212" spans="15:21" ht="12.75">
      <c r="O212" s="15"/>
      <c r="U212" s="15"/>
    </row>
    <row r="213" spans="15:21" ht="12.75">
      <c r="O213" s="15"/>
      <c r="U213" s="15"/>
    </row>
    <row r="214" spans="15:21" ht="12.75">
      <c r="O214" s="15"/>
      <c r="U214" s="15"/>
    </row>
    <row r="215" spans="15:21" ht="12.75">
      <c r="O215" s="15"/>
      <c r="U215" s="15"/>
    </row>
    <row r="216" spans="15:21" ht="12.75">
      <c r="O216" s="15"/>
      <c r="U216" s="15"/>
    </row>
    <row r="217" spans="15:21" ht="12.75">
      <c r="O217" s="15"/>
      <c r="U217" s="15"/>
    </row>
    <row r="218" spans="15:21" ht="12.75">
      <c r="O218" s="15"/>
      <c r="U218" s="15"/>
    </row>
    <row r="219" spans="15:21" ht="12.75">
      <c r="O219" s="15"/>
      <c r="U219" s="15"/>
    </row>
    <row r="220" spans="15:21" ht="12.75">
      <c r="O220" s="15"/>
      <c r="U220" s="15"/>
    </row>
    <row r="221" spans="15:21" ht="12.75">
      <c r="O221" s="15"/>
      <c r="U221" s="15"/>
    </row>
    <row r="222" spans="15:21" ht="12.75">
      <c r="O222" s="15"/>
      <c r="U222" s="15"/>
    </row>
    <row r="223" spans="15:21" ht="12.75">
      <c r="O223" s="15"/>
      <c r="U223" s="15"/>
    </row>
    <row r="224" spans="15:21" ht="12.75">
      <c r="O224" s="15"/>
      <c r="U224" s="15"/>
    </row>
    <row r="225" spans="15:21" ht="12.75">
      <c r="O225" s="15"/>
      <c r="U225" s="15"/>
    </row>
    <row r="226" spans="15:21" ht="12.75">
      <c r="O226" s="15"/>
      <c r="U226" s="15"/>
    </row>
    <row r="227" spans="15:21" ht="12.75">
      <c r="O227" s="15"/>
      <c r="U227" s="15"/>
    </row>
    <row r="228" spans="15:21" ht="12.75">
      <c r="O228" s="15"/>
      <c r="U228" s="15"/>
    </row>
    <row r="229" spans="15:21" ht="12.75">
      <c r="O229" s="15"/>
      <c r="U229" s="15"/>
    </row>
    <row r="230" spans="15:21" ht="12.75">
      <c r="O230" s="15"/>
      <c r="U230" s="15"/>
    </row>
    <row r="231" spans="15:21" ht="12.75">
      <c r="O231" s="15"/>
      <c r="U231" s="15"/>
    </row>
    <row r="232" spans="15:21" ht="12.75">
      <c r="O232" s="15"/>
      <c r="U232" s="15"/>
    </row>
    <row r="233" spans="15:21" ht="12.75">
      <c r="O233" s="15"/>
      <c r="U233" s="15"/>
    </row>
    <row r="234" spans="15:21" ht="12.75">
      <c r="O234" s="15"/>
      <c r="U234" s="15"/>
    </row>
    <row r="235" spans="15:21" ht="12.75">
      <c r="O235" s="15"/>
      <c r="U235" s="15"/>
    </row>
    <row r="236" spans="15:21" ht="12.75">
      <c r="O236" s="15"/>
      <c r="U236" s="15"/>
    </row>
    <row r="237" spans="15:21" ht="12.75">
      <c r="O237" s="15"/>
      <c r="U237" s="15"/>
    </row>
    <row r="238" spans="15:21" ht="12.75">
      <c r="O238" s="15"/>
      <c r="U238" s="15"/>
    </row>
    <row r="239" spans="15:21" ht="12.75">
      <c r="O239" s="15"/>
      <c r="U239" s="15"/>
    </row>
    <row r="240" spans="15:21" ht="12.75">
      <c r="O240" s="15"/>
      <c r="U240" s="15"/>
    </row>
    <row r="241" spans="15:21" ht="12.75">
      <c r="O241" s="15"/>
      <c r="U241" s="15"/>
    </row>
    <row r="242" spans="15:21" ht="12.75">
      <c r="O242" s="15"/>
      <c r="U242" s="15"/>
    </row>
    <row r="243" spans="15:21" ht="12.75">
      <c r="O243" s="15"/>
      <c r="U243" s="15"/>
    </row>
    <row r="244" spans="15:21" ht="12.75">
      <c r="O244" s="15"/>
      <c r="U244" s="15"/>
    </row>
    <row r="245" spans="15:21" ht="12.75">
      <c r="O245" s="15"/>
      <c r="U245" s="15"/>
    </row>
    <row r="246" spans="15:21" ht="12.75">
      <c r="O246" s="15"/>
      <c r="U246" s="15"/>
    </row>
    <row r="247" spans="15:21" ht="12.75">
      <c r="O247" s="15"/>
      <c r="U247" s="15"/>
    </row>
    <row r="248" spans="15:21" ht="12.75">
      <c r="O248" s="15"/>
      <c r="U248" s="15"/>
    </row>
    <row r="249" spans="15:21" ht="12.75">
      <c r="O249" s="15"/>
      <c r="U249" s="15"/>
    </row>
    <row r="250" spans="15:21" ht="12.75">
      <c r="O250" s="15"/>
      <c r="U250" s="15"/>
    </row>
    <row r="251" spans="15:21" ht="12.75">
      <c r="O251" s="15"/>
      <c r="U251" s="15"/>
    </row>
    <row r="252" spans="15:21" ht="12.75">
      <c r="O252" s="15"/>
      <c r="U252" s="15"/>
    </row>
    <row r="253" spans="15:21" ht="12.75">
      <c r="O253" s="15"/>
      <c r="U253" s="15"/>
    </row>
    <row r="254" spans="15:21" ht="12.75">
      <c r="O254" s="15"/>
      <c r="U254" s="15"/>
    </row>
    <row r="255" spans="15:21" ht="12.75">
      <c r="O255" s="15"/>
      <c r="U255" s="15"/>
    </row>
    <row r="256" spans="15:21" ht="12.75">
      <c r="O256" s="15"/>
      <c r="U256" s="15"/>
    </row>
    <row r="257" spans="15:21" ht="12.75">
      <c r="O257" s="15"/>
      <c r="U257" s="15"/>
    </row>
    <row r="258" spans="15:21" ht="12.75">
      <c r="O258" s="15"/>
      <c r="U258" s="15"/>
    </row>
    <row r="259" spans="15:21" ht="12.75">
      <c r="O259" s="15"/>
      <c r="U259" s="15"/>
    </row>
    <row r="260" spans="15:21" ht="12.75">
      <c r="O260" s="15"/>
      <c r="U260" s="15"/>
    </row>
    <row r="261" spans="15:21" ht="12.75">
      <c r="O261" s="15"/>
      <c r="U261" s="15"/>
    </row>
    <row r="262" spans="15:21" ht="12.75">
      <c r="O262" s="15"/>
      <c r="U262" s="15"/>
    </row>
    <row r="263" spans="15:21" ht="12.75">
      <c r="O263" s="15"/>
      <c r="U263" s="15"/>
    </row>
    <row r="264" spans="15:21" ht="12.75">
      <c r="O264" s="15"/>
      <c r="U264" s="15"/>
    </row>
    <row r="265" spans="15:21" ht="12.75">
      <c r="O265" s="15"/>
      <c r="U265" s="15"/>
    </row>
    <row r="266" spans="15:21" ht="12.75">
      <c r="O266" s="15"/>
      <c r="U266" s="15"/>
    </row>
    <row r="267" spans="15:21" ht="12.75">
      <c r="O267" s="15"/>
      <c r="U267" s="15"/>
    </row>
    <row r="268" spans="15:21" ht="12.75">
      <c r="O268" s="15"/>
      <c r="U268" s="15"/>
    </row>
    <row r="269" spans="15:21" ht="12.75">
      <c r="O269" s="15"/>
      <c r="U269" s="15"/>
    </row>
    <row r="270" spans="15:21" ht="12.75">
      <c r="O270" s="15"/>
      <c r="U270" s="15"/>
    </row>
    <row r="271" spans="15:21" ht="12.75">
      <c r="O271" s="15"/>
      <c r="U271" s="15"/>
    </row>
    <row r="272" spans="15:21" ht="12.75">
      <c r="O272" s="15"/>
      <c r="U272" s="15"/>
    </row>
    <row r="273" spans="15:21" ht="12.75">
      <c r="O273" s="15"/>
      <c r="U273" s="15"/>
    </row>
    <row r="274" spans="15:21" ht="12.75">
      <c r="O274" s="15"/>
      <c r="U274" s="15"/>
    </row>
    <row r="275" spans="15:21" ht="12.75">
      <c r="O275" s="15"/>
      <c r="U275" s="15"/>
    </row>
    <row r="276" spans="15:21" ht="12.75">
      <c r="O276" s="15"/>
      <c r="U276" s="15"/>
    </row>
    <row r="277" spans="15:21" ht="12.75">
      <c r="O277" s="15"/>
      <c r="U277" s="15"/>
    </row>
    <row r="278" spans="15:21" ht="12.75">
      <c r="O278" s="15"/>
      <c r="U278" s="15"/>
    </row>
    <row r="279" spans="15:21" ht="12.75">
      <c r="O279" s="15"/>
      <c r="U279" s="15"/>
    </row>
    <row r="280" spans="15:21" ht="12.75">
      <c r="O280" s="15"/>
      <c r="U280" s="15"/>
    </row>
    <row r="281" spans="15:21" ht="12.75">
      <c r="O281" s="15"/>
      <c r="U281" s="15"/>
    </row>
    <row r="282" spans="15:21" ht="12.75">
      <c r="O282" s="15"/>
      <c r="U282" s="15"/>
    </row>
    <row r="283" spans="15:21" ht="12.75">
      <c r="O283" s="15"/>
      <c r="U283" s="15"/>
    </row>
    <row r="284" spans="15:21" ht="12.75">
      <c r="O284" s="15"/>
      <c r="U284" s="15"/>
    </row>
    <row r="285" spans="15:21" ht="12.75">
      <c r="O285" s="15"/>
      <c r="U285" s="15"/>
    </row>
    <row r="286" spans="15:21" ht="12.75">
      <c r="O286" s="15"/>
      <c r="U286" s="15"/>
    </row>
    <row r="287" spans="15:21" ht="12.75">
      <c r="O287" s="15"/>
      <c r="U287" s="15"/>
    </row>
    <row r="288" spans="15:21" ht="12.75">
      <c r="O288" s="15"/>
      <c r="U288" s="15"/>
    </row>
    <row r="289" spans="15:21" ht="12.75">
      <c r="O289" s="15"/>
      <c r="U289" s="15"/>
    </row>
    <row r="290" spans="15:21" ht="12.75">
      <c r="O290" s="15"/>
      <c r="U290" s="15"/>
    </row>
    <row r="291" spans="15:21" ht="12.75">
      <c r="O291" s="15"/>
      <c r="U291" s="15"/>
    </row>
    <row r="292" spans="15:21" ht="12.75">
      <c r="O292" s="15"/>
      <c r="U292" s="15"/>
    </row>
    <row r="293" spans="15:21" ht="12.75">
      <c r="O293" s="15"/>
      <c r="U293" s="15"/>
    </row>
    <row r="294" spans="15:21" ht="12.75">
      <c r="O294" s="15"/>
      <c r="U294" s="15"/>
    </row>
    <row r="295" spans="15:21" ht="12.75">
      <c r="O295" s="15"/>
      <c r="U295" s="15"/>
    </row>
    <row r="296" spans="15:21" ht="12.75">
      <c r="O296" s="15"/>
      <c r="U296" s="15"/>
    </row>
    <row r="297" spans="15:21" ht="12.75">
      <c r="O297" s="15"/>
      <c r="U297" s="15"/>
    </row>
    <row r="298" spans="15:21" ht="12.75">
      <c r="O298" s="15"/>
      <c r="U298" s="15"/>
    </row>
    <row r="299" spans="15:21" ht="12.75">
      <c r="O299" s="15"/>
      <c r="U299" s="15"/>
    </row>
    <row r="300" spans="15:21" ht="12.75">
      <c r="O300" s="15"/>
      <c r="U300" s="15"/>
    </row>
    <row r="301" spans="15:21" ht="12.75">
      <c r="O301" s="15"/>
      <c r="U301" s="15"/>
    </row>
    <row r="302" spans="15:21" ht="12.75">
      <c r="O302" s="15"/>
      <c r="U302" s="15"/>
    </row>
    <row r="303" spans="15:21" ht="12.75">
      <c r="O303" s="15"/>
      <c r="U303" s="15"/>
    </row>
    <row r="304" spans="15:21" ht="12.75">
      <c r="O304" s="15"/>
      <c r="U304" s="15"/>
    </row>
    <row r="305" spans="15:21" ht="12.75">
      <c r="O305" s="15"/>
      <c r="U305" s="15"/>
    </row>
    <row r="306" spans="15:21" ht="12.75">
      <c r="O306" s="15"/>
      <c r="U306" s="15"/>
    </row>
    <row r="307" spans="15:21" ht="12.75">
      <c r="O307" s="15"/>
      <c r="U307" s="15"/>
    </row>
    <row r="308" spans="15:21" ht="12.75">
      <c r="O308" s="15"/>
      <c r="U308" s="15"/>
    </row>
    <row r="309" spans="15:21" ht="12.75">
      <c r="O309" s="15"/>
      <c r="U309" s="15"/>
    </row>
    <row r="310" spans="15:21" ht="12.75">
      <c r="O310" s="15"/>
      <c r="U310" s="15"/>
    </row>
    <row r="311" spans="15:21" ht="12.75">
      <c r="O311" s="15"/>
      <c r="U311" s="15"/>
    </row>
    <row r="312" spans="15:21" ht="12.75">
      <c r="O312" s="15"/>
      <c r="U312" s="15"/>
    </row>
    <row r="313" spans="15:21" ht="12.75">
      <c r="O313" s="15"/>
      <c r="U313" s="15"/>
    </row>
    <row r="314" spans="15:21" ht="12.75">
      <c r="O314" s="15"/>
      <c r="U314" s="15"/>
    </row>
    <row r="315" spans="15:21" ht="12.75">
      <c r="O315" s="15"/>
      <c r="U315" s="15"/>
    </row>
    <row r="316" spans="15:21" ht="12.75">
      <c r="O316" s="15"/>
      <c r="U316" s="15"/>
    </row>
    <row r="317" spans="15:21" ht="12.75">
      <c r="O317" s="15"/>
      <c r="U317" s="15"/>
    </row>
    <row r="318" spans="15:21" ht="12.75">
      <c r="O318" s="15"/>
      <c r="U318" s="15"/>
    </row>
    <row r="319" spans="15:21" ht="12.75">
      <c r="O319" s="15"/>
      <c r="U319" s="15"/>
    </row>
    <row r="320" spans="15:21" ht="12.75">
      <c r="O320" s="15"/>
      <c r="U320" s="15"/>
    </row>
    <row r="321" spans="15:21" ht="12.75">
      <c r="O321" s="15"/>
      <c r="U321" s="15"/>
    </row>
    <row r="322" spans="15:21" ht="12.75">
      <c r="O322" s="15"/>
      <c r="U322" s="15"/>
    </row>
    <row r="323" spans="15:21" ht="12.75">
      <c r="O323" s="15"/>
      <c r="U323" s="15"/>
    </row>
    <row r="324" spans="15:21" ht="12.75">
      <c r="O324" s="15"/>
      <c r="U324" s="15"/>
    </row>
    <row r="325" spans="15:21" ht="12.75">
      <c r="O325" s="15"/>
      <c r="U325" s="15"/>
    </row>
    <row r="326" spans="15:21" ht="12.75">
      <c r="O326" s="15"/>
      <c r="U326" s="15"/>
    </row>
    <row r="327" spans="15:21" ht="12.75">
      <c r="O327" s="15"/>
      <c r="U327" s="15"/>
    </row>
    <row r="328" spans="15:21" ht="12.75">
      <c r="O328" s="15"/>
      <c r="U328" s="15"/>
    </row>
    <row r="329" spans="15:21" ht="12.75">
      <c r="O329" s="15"/>
      <c r="U329" s="15"/>
    </row>
    <row r="330" spans="15:21" ht="12.75">
      <c r="O330" s="15"/>
      <c r="U330" s="15"/>
    </row>
    <row r="331" spans="15:21" ht="12.75">
      <c r="O331" s="15"/>
      <c r="U331" s="15"/>
    </row>
    <row r="332" spans="15:21" ht="12.75">
      <c r="O332" s="15"/>
      <c r="U332" s="15"/>
    </row>
    <row r="333" spans="15:21" ht="12.75">
      <c r="O333" s="15"/>
      <c r="U333" s="15"/>
    </row>
    <row r="334" spans="15:21" ht="12.75">
      <c r="O334" s="15"/>
      <c r="U334" s="15"/>
    </row>
    <row r="335" spans="15:21" ht="12.75">
      <c r="O335" s="15"/>
      <c r="U335" s="15"/>
    </row>
    <row r="336" spans="15:21" ht="12.75">
      <c r="O336" s="15"/>
      <c r="U336" s="15"/>
    </row>
    <row r="337" spans="15:21" ht="12.75">
      <c r="O337" s="15"/>
      <c r="U337" s="15"/>
    </row>
    <row r="338" spans="15:21" ht="12.75">
      <c r="O338" s="15"/>
      <c r="U338" s="15"/>
    </row>
    <row r="339" spans="15:21" ht="12.75">
      <c r="O339" s="15"/>
      <c r="U339" s="15"/>
    </row>
    <row r="340" spans="15:21" ht="12.75">
      <c r="O340" s="15"/>
      <c r="U340" s="15"/>
    </row>
    <row r="341" spans="15:21" ht="12.75">
      <c r="O341" s="15"/>
      <c r="U341" s="15"/>
    </row>
    <row r="342" spans="15:21" ht="12.75">
      <c r="O342" s="15"/>
      <c r="U342" s="15"/>
    </row>
    <row r="343" spans="15:21" ht="12.75">
      <c r="O343" s="15"/>
      <c r="U343" s="15"/>
    </row>
    <row r="344" spans="15:21" ht="12.75">
      <c r="O344" s="15"/>
      <c r="U344" s="15"/>
    </row>
    <row r="345" spans="15:21" ht="12.75">
      <c r="O345" s="15"/>
      <c r="U345" s="15"/>
    </row>
    <row r="346" spans="15:21" ht="12.75">
      <c r="O346" s="15"/>
      <c r="U346" s="15"/>
    </row>
    <row r="347" spans="15:21" ht="12.75">
      <c r="O347" s="15"/>
      <c r="U347" s="15"/>
    </row>
    <row r="348" spans="15:21" ht="12.75">
      <c r="O348" s="15"/>
      <c r="U348" s="15"/>
    </row>
    <row r="349" spans="15:21" ht="12.75">
      <c r="O349" s="15"/>
      <c r="U349" s="15"/>
    </row>
    <row r="350" spans="15:21" ht="12.75">
      <c r="O350" s="15"/>
      <c r="U350" s="15"/>
    </row>
    <row r="351" spans="15:21" ht="12.75">
      <c r="O351" s="15"/>
      <c r="U351" s="15"/>
    </row>
    <row r="352" spans="15:21" ht="12.75">
      <c r="O352" s="15"/>
      <c r="U352" s="15"/>
    </row>
    <row r="353" spans="15:21" ht="12.75">
      <c r="O353" s="15"/>
      <c r="U353" s="15"/>
    </row>
    <row r="354" spans="15:21" ht="12.75">
      <c r="O354" s="15"/>
      <c r="U354" s="15"/>
    </row>
    <row r="355" spans="15:21" ht="12.75">
      <c r="O355" s="15"/>
      <c r="U355" s="15"/>
    </row>
    <row r="356" spans="15:21" ht="12.75">
      <c r="O356" s="15"/>
      <c r="U356" s="15"/>
    </row>
    <row r="357" spans="15:21" ht="12.75">
      <c r="O357" s="15"/>
      <c r="U357" s="15"/>
    </row>
    <row r="358" spans="15:21" ht="12.75">
      <c r="O358" s="15"/>
      <c r="U358" s="15"/>
    </row>
    <row r="359" spans="15:21" ht="12.75">
      <c r="O359" s="15"/>
      <c r="U359" s="15"/>
    </row>
    <row r="360" spans="15:21" ht="12.75">
      <c r="O360" s="15"/>
      <c r="U360" s="15"/>
    </row>
    <row r="361" spans="15:21" ht="12.75">
      <c r="O361" s="15"/>
      <c r="U361" s="15"/>
    </row>
    <row r="362" spans="15:21" ht="12.75">
      <c r="O362" s="15"/>
      <c r="U362" s="15"/>
    </row>
    <row r="363" spans="15:21" ht="12.75">
      <c r="O363" s="15"/>
      <c r="U363" s="15"/>
    </row>
    <row r="364" spans="15:21" ht="12.75">
      <c r="O364" s="15"/>
      <c r="U364" s="15"/>
    </row>
    <row r="365" spans="15:21" ht="12.75">
      <c r="O365" s="15"/>
      <c r="U365" s="15"/>
    </row>
    <row r="366" spans="15:21" ht="12.75">
      <c r="O366" s="15"/>
      <c r="U366" s="15"/>
    </row>
    <row r="367" spans="15:21" ht="12.75">
      <c r="O367" s="15"/>
      <c r="U367" s="15"/>
    </row>
    <row r="368" spans="15:21" ht="12.75">
      <c r="O368" s="15"/>
      <c r="U368" s="15"/>
    </row>
    <row r="369" spans="15:21" ht="12.75">
      <c r="O369" s="15"/>
      <c r="U369" s="15"/>
    </row>
    <row r="370" spans="15:21" ht="12.75">
      <c r="O370" s="15"/>
      <c r="U370" s="15"/>
    </row>
    <row r="371" spans="15:21" ht="12.75">
      <c r="O371" s="15"/>
      <c r="U371" s="15"/>
    </row>
    <row r="372" spans="15:21" ht="12.75">
      <c r="O372" s="15"/>
      <c r="U372" s="15"/>
    </row>
    <row r="373" spans="15:21" ht="12.75">
      <c r="O373" s="15"/>
      <c r="U373" s="15"/>
    </row>
    <row r="374" spans="15:21" ht="12.75">
      <c r="O374" s="15"/>
      <c r="U374" s="15"/>
    </row>
    <row r="375" spans="15:21" ht="12.75">
      <c r="O375" s="15"/>
      <c r="U375" s="15"/>
    </row>
    <row r="376" spans="15:21" ht="12.75">
      <c r="O376" s="15"/>
      <c r="U376" s="15"/>
    </row>
    <row r="377" spans="15:21" ht="12.75">
      <c r="O377" s="15"/>
      <c r="U377" s="15"/>
    </row>
    <row r="378" spans="15:21" ht="12.75">
      <c r="O378" s="15"/>
      <c r="U378" s="15"/>
    </row>
    <row r="379" spans="15:21" ht="12.75">
      <c r="O379" s="15"/>
      <c r="U379" s="15"/>
    </row>
    <row r="380" spans="15:21" ht="12.75">
      <c r="O380" s="15"/>
      <c r="U380" s="15"/>
    </row>
    <row r="381" spans="15:21" ht="12.75">
      <c r="O381" s="15"/>
      <c r="U381" s="15"/>
    </row>
    <row r="382" spans="15:21" ht="12.75">
      <c r="O382" s="15"/>
      <c r="U382" s="15"/>
    </row>
    <row r="383" spans="15:21" ht="12.75">
      <c r="O383" s="15"/>
      <c r="U383" s="15"/>
    </row>
    <row r="384" spans="15:21" ht="12.75">
      <c r="O384" s="15"/>
      <c r="U384" s="15"/>
    </row>
    <row r="385" spans="15:21" ht="12.75">
      <c r="O385" s="15"/>
      <c r="U385" s="15"/>
    </row>
    <row r="386" spans="15:21" ht="12.75">
      <c r="O386" s="15"/>
      <c r="U386" s="15"/>
    </row>
    <row r="387" spans="15:21" ht="12.75">
      <c r="O387" s="15"/>
      <c r="U387" s="15"/>
    </row>
    <row r="388" spans="15:21" ht="12.75">
      <c r="O388" s="15"/>
      <c r="U388" s="15"/>
    </row>
    <row r="389" spans="15:21" ht="12.75">
      <c r="O389" s="15"/>
      <c r="U389" s="15"/>
    </row>
    <row r="390" spans="15:21" ht="12.75">
      <c r="O390" s="15"/>
      <c r="U390" s="15"/>
    </row>
    <row r="391" spans="15:21" ht="12.75">
      <c r="O391" s="15"/>
      <c r="U391" s="15"/>
    </row>
    <row r="392" spans="15:21" ht="12.75">
      <c r="O392" s="15"/>
      <c r="U392" s="15"/>
    </row>
    <row r="393" spans="15:21" ht="12.75">
      <c r="O393" s="15"/>
      <c r="U393" s="15"/>
    </row>
    <row r="394" spans="15:21" ht="12.75">
      <c r="O394" s="15"/>
      <c r="U394" s="15"/>
    </row>
    <row r="395" spans="15:21" ht="12.75">
      <c r="O395" s="15"/>
      <c r="U395" s="15"/>
    </row>
    <row r="396" spans="15:21" ht="12.75">
      <c r="O396" s="15"/>
      <c r="U396" s="15"/>
    </row>
    <row r="397" spans="15:21" ht="12.75">
      <c r="O397" s="15"/>
      <c r="U397" s="15"/>
    </row>
    <row r="398" spans="15:21" ht="12.75">
      <c r="O398" s="15"/>
      <c r="U398" s="15"/>
    </row>
    <row r="399" spans="15:21" ht="12.75">
      <c r="O399" s="15"/>
      <c r="U399" s="15"/>
    </row>
    <row r="400" spans="15:21" ht="12.75">
      <c r="O400" s="15"/>
      <c r="U400" s="15"/>
    </row>
    <row r="401" spans="15:21" ht="12.75">
      <c r="O401" s="15"/>
      <c r="U401" s="15"/>
    </row>
    <row r="402" spans="15:21" ht="12.75">
      <c r="O402" s="15"/>
      <c r="U402" s="15"/>
    </row>
    <row r="403" spans="15:21" ht="12.75">
      <c r="O403" s="15"/>
      <c r="U403" s="15"/>
    </row>
    <row r="404" spans="15:21" ht="12.75">
      <c r="O404" s="15"/>
      <c r="U404" s="15"/>
    </row>
    <row r="405" spans="15:21" ht="12.75">
      <c r="O405" s="15"/>
      <c r="U405" s="15"/>
    </row>
    <row r="406" spans="15:21" ht="12.75">
      <c r="O406" s="15"/>
      <c r="U406" s="15"/>
    </row>
    <row r="407" spans="15:21" ht="12.75">
      <c r="O407" s="15"/>
      <c r="U407" s="15"/>
    </row>
    <row r="408" spans="15:21" ht="12.75">
      <c r="O408" s="15"/>
      <c r="U408" s="15"/>
    </row>
    <row r="409" spans="15:21" ht="12.75">
      <c r="O409" s="15"/>
      <c r="U409" s="15"/>
    </row>
    <row r="410" spans="15:21" ht="12.75">
      <c r="O410" s="15"/>
      <c r="U410" s="15"/>
    </row>
    <row r="411" spans="15:21" ht="12.75">
      <c r="O411" s="15"/>
      <c r="U411" s="15"/>
    </row>
    <row r="412" spans="15:21" ht="12.75">
      <c r="O412" s="15"/>
      <c r="U412" s="15"/>
    </row>
    <row r="413" spans="15:21" ht="12.75">
      <c r="O413" s="15"/>
      <c r="U413" s="15"/>
    </row>
    <row r="414" spans="15:21" ht="12.75">
      <c r="O414" s="15"/>
      <c r="U414" s="15"/>
    </row>
    <row r="415" spans="15:21" ht="12.75">
      <c r="O415" s="15"/>
      <c r="U415" s="15"/>
    </row>
    <row r="416" spans="15:21" ht="12.75">
      <c r="O416" s="15"/>
      <c r="U416" s="15"/>
    </row>
    <row r="417" spans="15:21" ht="12.75">
      <c r="O417" s="15"/>
      <c r="U417" s="15"/>
    </row>
    <row r="418" spans="15:21" ht="12.75">
      <c r="O418" s="15"/>
      <c r="U418" s="15"/>
    </row>
    <row r="419" spans="15:21" ht="12.75">
      <c r="O419" s="15"/>
      <c r="U419" s="15"/>
    </row>
    <row r="420" spans="15:21" ht="12.75">
      <c r="O420" s="15"/>
      <c r="U420" s="15"/>
    </row>
    <row r="421" spans="15:21" ht="12.75">
      <c r="O421" s="15"/>
      <c r="U421" s="15"/>
    </row>
    <row r="422" spans="15:21" ht="12.75">
      <c r="O422" s="15"/>
      <c r="U422" s="15"/>
    </row>
    <row r="423" spans="15:21" ht="12.75">
      <c r="O423" s="15"/>
      <c r="U423" s="15"/>
    </row>
    <row r="424" spans="15:21" ht="12.75">
      <c r="O424" s="15"/>
      <c r="U424" s="15"/>
    </row>
    <row r="425" spans="15:21" ht="12.75">
      <c r="O425" s="15"/>
      <c r="U425" s="15"/>
    </row>
    <row r="426" spans="15:21" ht="12.75">
      <c r="O426" s="15"/>
      <c r="U426" s="15"/>
    </row>
    <row r="427" spans="15:21" ht="12.75">
      <c r="O427" s="15"/>
      <c r="U427" s="15"/>
    </row>
    <row r="428" spans="15:21" ht="12.75">
      <c r="O428" s="15"/>
      <c r="U428" s="15"/>
    </row>
    <row r="429" spans="15:21" ht="12.75">
      <c r="O429" s="15"/>
      <c r="U429" s="15"/>
    </row>
    <row r="430" spans="15:21" ht="12.75">
      <c r="O430" s="15"/>
      <c r="U430" s="15"/>
    </row>
    <row r="431" spans="15:21" ht="12.75">
      <c r="O431" s="15"/>
      <c r="U431" s="15"/>
    </row>
    <row r="432" spans="15:21" ht="12.75">
      <c r="O432" s="15"/>
      <c r="U432" s="15"/>
    </row>
    <row r="433" spans="15:21" ht="12.75">
      <c r="O433" s="15"/>
      <c r="U433" s="15"/>
    </row>
    <row r="434" spans="15:21" ht="12.75">
      <c r="O434" s="15"/>
      <c r="U434" s="15"/>
    </row>
    <row r="435" spans="15:21" ht="12.75">
      <c r="O435" s="15"/>
      <c r="U435" s="15"/>
    </row>
    <row r="436" spans="15:21" ht="12.75">
      <c r="O436" s="15"/>
      <c r="U436" s="15"/>
    </row>
    <row r="437" spans="15:21" ht="12.75">
      <c r="O437" s="15"/>
      <c r="U437" s="15"/>
    </row>
    <row r="438" spans="15:21" ht="12.75">
      <c r="O438" s="15"/>
      <c r="U438" s="15"/>
    </row>
    <row r="439" spans="15:21" ht="12.75">
      <c r="O439" s="15"/>
      <c r="U439" s="15"/>
    </row>
    <row r="440" spans="15:21" ht="12.75">
      <c r="O440" s="15"/>
      <c r="U440" s="15"/>
    </row>
    <row r="441" spans="15:21" ht="12.75">
      <c r="O441" s="15"/>
      <c r="U441" s="15"/>
    </row>
    <row r="442" spans="15:21" ht="12.75">
      <c r="O442" s="15"/>
      <c r="U442" s="15"/>
    </row>
    <row r="443" spans="15:21" ht="12.75">
      <c r="O443" s="15"/>
      <c r="U443" s="15"/>
    </row>
    <row r="444" spans="15:21" ht="12.75">
      <c r="O444" s="15"/>
      <c r="U444" s="15"/>
    </row>
    <row r="445" spans="15:21" ht="12.75">
      <c r="O445" s="15"/>
      <c r="U445" s="15"/>
    </row>
    <row r="446" spans="15:21" ht="12.75">
      <c r="O446" s="15"/>
      <c r="U446" s="15"/>
    </row>
    <row r="447" spans="15:21" ht="12.75">
      <c r="O447" s="15"/>
      <c r="U447" s="15"/>
    </row>
    <row r="448" spans="15:21" ht="12.75">
      <c r="O448" s="15"/>
      <c r="U448" s="15"/>
    </row>
    <row r="449" spans="15:21" ht="12.75">
      <c r="O449" s="15"/>
      <c r="U449" s="15"/>
    </row>
    <row r="450" spans="15:21" ht="12.75">
      <c r="O450" s="15"/>
      <c r="U450" s="15"/>
    </row>
    <row r="451" spans="15:21" ht="12.75">
      <c r="O451" s="15"/>
      <c r="U451" s="15"/>
    </row>
    <row r="452" spans="15:21" ht="12.75">
      <c r="O452" s="15"/>
      <c r="U452" s="15"/>
    </row>
    <row r="453" spans="15:21" ht="12.75">
      <c r="O453" s="15"/>
      <c r="U453" s="15"/>
    </row>
    <row r="454" spans="15:21" ht="12.75">
      <c r="O454" s="15"/>
      <c r="U454" s="15"/>
    </row>
    <row r="455" spans="15:21" ht="12.75">
      <c r="O455" s="15"/>
      <c r="U455" s="15"/>
    </row>
    <row r="456" spans="15:21" ht="12.75">
      <c r="O456" s="15"/>
      <c r="U456" s="15"/>
    </row>
    <row r="457" spans="15:21" ht="12.75">
      <c r="O457" s="15"/>
      <c r="U457" s="15"/>
    </row>
    <row r="458" spans="15:21" ht="12.75">
      <c r="O458" s="15"/>
      <c r="U458" s="15"/>
    </row>
    <row r="459" spans="15:21" ht="12.75">
      <c r="O459" s="15"/>
      <c r="U459" s="15"/>
    </row>
    <row r="460" spans="15:21" ht="12.75">
      <c r="O460" s="15"/>
      <c r="U460" s="15"/>
    </row>
    <row r="461" spans="15:21" ht="12.75">
      <c r="O461" s="15"/>
      <c r="U461" s="15"/>
    </row>
    <row r="462" spans="15:21" ht="12.75">
      <c r="O462" s="15"/>
      <c r="U462" s="15"/>
    </row>
    <row r="463" spans="15:21" ht="12.75">
      <c r="O463" s="15"/>
      <c r="U463" s="15"/>
    </row>
    <row r="464" spans="15:21" ht="12.75">
      <c r="O464" s="15"/>
      <c r="U464" s="15"/>
    </row>
    <row r="465" spans="15:21" ht="12.75">
      <c r="O465" s="15"/>
      <c r="U465" s="15"/>
    </row>
    <row r="466" spans="15:21" ht="12.75">
      <c r="O466" s="15"/>
      <c r="U466" s="15"/>
    </row>
    <row r="467" spans="15:21" ht="12.75">
      <c r="O467" s="15"/>
      <c r="U467" s="15"/>
    </row>
    <row r="468" spans="15:21" ht="12.75">
      <c r="O468" s="15"/>
      <c r="U468" s="15"/>
    </row>
    <row r="469" spans="15:21" ht="12.75">
      <c r="O469" s="15"/>
      <c r="U469" s="15"/>
    </row>
    <row r="470" spans="15:21" ht="12.75">
      <c r="O470" s="15"/>
      <c r="U470" s="15"/>
    </row>
    <row r="471" spans="15:21" ht="12.75">
      <c r="O471" s="15"/>
      <c r="U471" s="15"/>
    </row>
    <row r="472" spans="15:21" ht="12.75">
      <c r="O472" s="15"/>
      <c r="U472" s="15"/>
    </row>
    <row r="473" spans="15:21" ht="12.75">
      <c r="O473" s="15"/>
      <c r="U473" s="15"/>
    </row>
    <row r="474" spans="15:21" ht="12.75">
      <c r="O474" s="15"/>
      <c r="U474" s="15"/>
    </row>
    <row r="475" spans="15:21" ht="12.75">
      <c r="O475" s="15"/>
      <c r="U475" s="15"/>
    </row>
    <row r="476" spans="15:21" ht="12.75">
      <c r="O476" s="15"/>
      <c r="U476" s="15"/>
    </row>
    <row r="477" spans="15:21" ht="12.75">
      <c r="O477" s="15"/>
      <c r="U477" s="15"/>
    </row>
    <row r="478" spans="15:21" ht="12.75">
      <c r="O478" s="15"/>
      <c r="U478" s="15"/>
    </row>
    <row r="479" spans="15:21" ht="12.75">
      <c r="O479" s="15"/>
      <c r="U479" s="15"/>
    </row>
    <row r="480" spans="15:21" ht="12.75">
      <c r="O480" s="15"/>
      <c r="U480" s="15"/>
    </row>
    <row r="481" spans="15:21" ht="12.75">
      <c r="O481" s="15"/>
      <c r="U481" s="15"/>
    </row>
    <row r="482" spans="15:21" ht="12.75">
      <c r="O482" s="15"/>
      <c r="U482" s="15"/>
    </row>
    <row r="483" spans="15:21" ht="12.75">
      <c r="O483" s="15"/>
      <c r="U483" s="15"/>
    </row>
    <row r="484" spans="15:21" ht="12.75">
      <c r="O484" s="15"/>
      <c r="U484" s="15"/>
    </row>
    <row r="485" spans="15:21" ht="12.75">
      <c r="O485" s="15"/>
      <c r="U485" s="15"/>
    </row>
    <row r="486" spans="15:21" ht="12.75">
      <c r="O486" s="15"/>
      <c r="U486" s="15"/>
    </row>
    <row r="487" spans="15:21" ht="12.75">
      <c r="O487" s="15"/>
      <c r="U487" s="15"/>
    </row>
    <row r="488" spans="15:21" ht="12.75">
      <c r="O488" s="15"/>
      <c r="U488" s="15"/>
    </row>
    <row r="489" spans="15:21" ht="12.75">
      <c r="O489" s="15"/>
      <c r="U489" s="15"/>
    </row>
    <row r="490" spans="15:21" ht="12.75">
      <c r="O490" s="15"/>
      <c r="U490" s="15"/>
    </row>
    <row r="491" spans="15:21" ht="12.75">
      <c r="O491" s="15"/>
      <c r="U491" s="15"/>
    </row>
    <row r="492" spans="15:21" ht="12.75">
      <c r="O492" s="15"/>
      <c r="U492" s="15"/>
    </row>
    <row r="493" spans="15:21" ht="12.75">
      <c r="O493" s="15"/>
      <c r="U493" s="15"/>
    </row>
    <row r="494" spans="15:21" ht="12.75">
      <c r="O494" s="15"/>
      <c r="U494" s="15"/>
    </row>
    <row r="495" spans="15:21" ht="12.75">
      <c r="O495" s="15"/>
      <c r="U495" s="15"/>
    </row>
    <row r="496" spans="15:21" ht="12.75">
      <c r="O496" s="15"/>
      <c r="U496" s="15"/>
    </row>
    <row r="497" spans="15:21" ht="12.75">
      <c r="O497" s="15"/>
      <c r="U497" s="15"/>
    </row>
    <row r="498" spans="15:21" ht="12.75">
      <c r="O498" s="15"/>
      <c r="U498" s="15"/>
    </row>
    <row r="499" spans="15:21" ht="12.75">
      <c r="O499" s="15"/>
      <c r="U499" s="15"/>
    </row>
    <row r="500" spans="15:21" ht="12.75">
      <c r="O500" s="15"/>
      <c r="U500" s="15"/>
    </row>
    <row r="501" spans="15:21" ht="12.75">
      <c r="O501" s="15"/>
      <c r="U501" s="15"/>
    </row>
    <row r="502" spans="15:21" ht="12.75">
      <c r="O502" s="15"/>
      <c r="U502" s="15"/>
    </row>
    <row r="503" spans="15:21" ht="12.75">
      <c r="O503" s="15"/>
      <c r="U503" s="15"/>
    </row>
    <row r="504" spans="15:21" ht="12.75">
      <c r="O504" s="15"/>
      <c r="U504" s="15"/>
    </row>
    <row r="505" spans="15:21" ht="12.75">
      <c r="O505" s="15"/>
      <c r="U505" s="15"/>
    </row>
    <row r="506" spans="15:21" ht="12.75">
      <c r="O506" s="15"/>
      <c r="U506" s="15"/>
    </row>
    <row r="507" spans="15:21" ht="12.75">
      <c r="O507" s="15"/>
      <c r="U507" s="15"/>
    </row>
    <row r="508" spans="15:21" ht="12.75">
      <c r="O508" s="15"/>
      <c r="U508" s="15"/>
    </row>
    <row r="509" spans="15:21" ht="12.75">
      <c r="O509" s="15"/>
      <c r="U509" s="15"/>
    </row>
    <row r="510" spans="15:21" ht="12.75">
      <c r="O510" s="15"/>
      <c r="U510" s="15"/>
    </row>
    <row r="511" spans="15:21" ht="12.75">
      <c r="O511" s="15"/>
      <c r="U511" s="15"/>
    </row>
    <row r="512" spans="15:21" ht="12.75">
      <c r="O512" s="15"/>
      <c r="U512" s="15"/>
    </row>
    <row r="513" spans="15:21" ht="12.75">
      <c r="O513" s="15"/>
      <c r="U513" s="15"/>
    </row>
    <row r="514" spans="15:21" ht="12.75">
      <c r="O514" s="15"/>
      <c r="U514" s="15"/>
    </row>
    <row r="515" spans="15:21" ht="12.75">
      <c r="O515" s="15"/>
      <c r="U515" s="15"/>
    </row>
    <row r="516" spans="15:21" ht="12.75">
      <c r="O516" s="15"/>
      <c r="U516" s="15"/>
    </row>
    <row r="517" spans="15:21" ht="12.75">
      <c r="O517" s="15"/>
      <c r="U517" s="15"/>
    </row>
    <row r="518" spans="15:21" ht="12.75">
      <c r="O518" s="15"/>
      <c r="U518" s="15"/>
    </row>
    <row r="519" spans="15:21" ht="12.75">
      <c r="O519" s="15"/>
      <c r="U519" s="15"/>
    </row>
    <row r="520" spans="15:21" ht="12.75">
      <c r="O520" s="15"/>
      <c r="U520" s="15"/>
    </row>
    <row r="521" spans="15:21" ht="12.75">
      <c r="O521" s="15"/>
      <c r="U521" s="15"/>
    </row>
    <row r="522" spans="15:21" ht="12.75">
      <c r="O522" s="15"/>
      <c r="U522" s="15"/>
    </row>
    <row r="523" spans="15:21" ht="12.75">
      <c r="O523" s="15"/>
      <c r="U523" s="15"/>
    </row>
    <row r="524" spans="15:21" ht="12.75">
      <c r="O524" s="15"/>
      <c r="U524" s="15"/>
    </row>
    <row r="525" spans="15:21" ht="12.75">
      <c r="O525" s="15"/>
      <c r="U525" s="15"/>
    </row>
    <row r="526" spans="15:21" ht="12.75">
      <c r="O526" s="15"/>
      <c r="U526" s="15"/>
    </row>
    <row r="527" spans="15:21" ht="12.75">
      <c r="O527" s="15"/>
      <c r="U527" s="15"/>
    </row>
    <row r="528" spans="15:21" ht="12.75">
      <c r="O528" s="15"/>
      <c r="U528" s="15"/>
    </row>
    <row r="529" spans="15:21" ht="12.75">
      <c r="O529" s="15"/>
      <c r="U529" s="15"/>
    </row>
    <row r="530" spans="15:21" ht="12.75">
      <c r="O530" s="15"/>
      <c r="U530" s="15"/>
    </row>
    <row r="531" spans="15:21" ht="12.75">
      <c r="O531" s="15"/>
      <c r="U531" s="15"/>
    </row>
    <row r="532" spans="15:21" ht="12.75">
      <c r="O532" s="15"/>
      <c r="U532" s="15"/>
    </row>
    <row r="533" spans="15:21" ht="12.75">
      <c r="O533" s="15"/>
      <c r="U533" s="15"/>
    </row>
    <row r="534" spans="15:21" ht="12.75">
      <c r="O534" s="15"/>
      <c r="U534" s="15"/>
    </row>
    <row r="535" spans="15:21" ht="12.75">
      <c r="O535" s="15"/>
      <c r="U535" s="15"/>
    </row>
    <row r="536" spans="15:21" ht="12.75">
      <c r="O536" s="15"/>
      <c r="U536" s="15"/>
    </row>
    <row r="537" spans="15:21" ht="12.75">
      <c r="O537" s="15"/>
      <c r="U537" s="15"/>
    </row>
    <row r="538" spans="15:21" ht="12.75">
      <c r="O538" s="15"/>
      <c r="U538" s="15"/>
    </row>
    <row r="539" spans="15:21" ht="12.75">
      <c r="O539" s="15"/>
      <c r="U539" s="15"/>
    </row>
    <row r="540" spans="15:21" ht="12.75">
      <c r="O540" s="15"/>
      <c r="U540" s="15"/>
    </row>
    <row r="541" spans="15:21" ht="12.75">
      <c r="O541" s="15"/>
      <c r="U541" s="15"/>
    </row>
    <row r="542" spans="15:21" ht="12.75">
      <c r="O542" s="15"/>
      <c r="U542" s="15"/>
    </row>
    <row r="543" spans="15:21" ht="12.75">
      <c r="O543" s="15"/>
      <c r="U543" s="15"/>
    </row>
    <row r="544" spans="15:21" ht="12.75">
      <c r="O544" s="15"/>
      <c r="U544" s="15"/>
    </row>
    <row r="545" spans="15:21" ht="12.75">
      <c r="O545" s="15"/>
      <c r="U545" s="15"/>
    </row>
    <row r="546" spans="15:21" ht="12.75">
      <c r="O546" s="15"/>
      <c r="U546" s="15"/>
    </row>
    <row r="547" spans="15:21" ht="12.75">
      <c r="O547" s="15"/>
      <c r="U547" s="15"/>
    </row>
    <row r="548" spans="15:21" ht="12.75">
      <c r="O548" s="15"/>
      <c r="U548" s="15"/>
    </row>
    <row r="549" spans="15:21" ht="12.75">
      <c r="O549" s="15"/>
      <c r="U549" s="15"/>
    </row>
    <row r="550" spans="15:21" ht="12.75">
      <c r="O550" s="15"/>
      <c r="U550" s="15"/>
    </row>
    <row r="551" spans="15:21" ht="12.75">
      <c r="O551" s="15"/>
      <c r="U551" s="15"/>
    </row>
    <row r="552" spans="15:21" ht="12.75">
      <c r="O552" s="15"/>
      <c r="U552" s="15"/>
    </row>
    <row r="553" spans="15:21" ht="12.75">
      <c r="O553" s="15"/>
      <c r="U553" s="15"/>
    </row>
    <row r="554" spans="15:21" ht="12.75">
      <c r="O554" s="15"/>
      <c r="U554" s="15"/>
    </row>
    <row r="555" spans="15:21" ht="12.75">
      <c r="O555" s="15"/>
      <c r="U555" s="15"/>
    </row>
    <row r="556" spans="15:21" ht="12.75">
      <c r="O556" s="15"/>
      <c r="U556" s="15"/>
    </row>
    <row r="557" spans="15:21" ht="12.75">
      <c r="O557" s="15"/>
      <c r="U557" s="15"/>
    </row>
    <row r="558" spans="15:21" ht="12.75">
      <c r="O558" s="15"/>
      <c r="U558" s="15"/>
    </row>
    <row r="559" spans="15:21" ht="12.75">
      <c r="O559" s="15"/>
      <c r="U559" s="15"/>
    </row>
    <row r="560" spans="15:21" ht="12.75">
      <c r="O560" s="15"/>
      <c r="U560" s="15"/>
    </row>
    <row r="561" spans="15:21" ht="12.75">
      <c r="O561" s="15"/>
      <c r="U561" s="15"/>
    </row>
    <row r="562" spans="15:21" ht="12.75">
      <c r="O562" s="15"/>
      <c r="U562" s="15"/>
    </row>
    <row r="563" spans="15:21" ht="12.75">
      <c r="O563" s="15"/>
      <c r="U563" s="15"/>
    </row>
    <row r="564" spans="15:21" ht="12.75">
      <c r="O564" s="15"/>
      <c r="U564" s="15"/>
    </row>
    <row r="565" spans="15:21" ht="12.75">
      <c r="O565" s="15"/>
      <c r="U565" s="15"/>
    </row>
    <row r="566" spans="15:21" ht="12.75">
      <c r="O566" s="15"/>
      <c r="U566" s="15"/>
    </row>
    <row r="567" spans="15:21" ht="12.75">
      <c r="O567" s="15"/>
      <c r="U567" s="15"/>
    </row>
    <row r="568" spans="15:21" ht="12.75">
      <c r="O568" s="15"/>
      <c r="U568" s="15"/>
    </row>
    <row r="569" spans="15:21" ht="12.75">
      <c r="O569" s="15"/>
      <c r="U569" s="15"/>
    </row>
    <row r="570" spans="15:21" ht="12.75">
      <c r="O570" s="15"/>
      <c r="U570" s="15"/>
    </row>
    <row r="571" spans="15:21" ht="12.75">
      <c r="O571" s="15"/>
      <c r="U571" s="15"/>
    </row>
    <row r="572" spans="15:21" ht="12.75">
      <c r="O572" s="15"/>
      <c r="U572" s="15"/>
    </row>
    <row r="573" spans="15:21" ht="12.75">
      <c r="O573" s="15"/>
      <c r="U573" s="15"/>
    </row>
    <row r="574" spans="15:21" ht="12.75">
      <c r="O574" s="15"/>
      <c r="U574" s="15"/>
    </row>
    <row r="575" spans="15:21" ht="12.75">
      <c r="O575" s="15"/>
      <c r="U575" s="15"/>
    </row>
    <row r="576" spans="15:21" ht="12.75">
      <c r="O576" s="15"/>
      <c r="U576" s="15"/>
    </row>
    <row r="577" spans="15:21" ht="12.75">
      <c r="O577" s="15"/>
      <c r="U577" s="15"/>
    </row>
    <row r="578" spans="15:21" ht="12.75">
      <c r="O578" s="15"/>
      <c r="U578" s="15"/>
    </row>
    <row r="579" spans="15:21" ht="12.75">
      <c r="O579" s="15"/>
      <c r="U579" s="15"/>
    </row>
    <row r="580" spans="15:21" ht="12.75">
      <c r="O580" s="15"/>
      <c r="U580" s="15"/>
    </row>
    <row r="581" spans="15:21" ht="12.75">
      <c r="O581" s="15"/>
      <c r="U581" s="15"/>
    </row>
    <row r="582" spans="15:21" ht="12.75">
      <c r="O582" s="15"/>
      <c r="U582" s="15"/>
    </row>
    <row r="583" spans="15:21" ht="12.75">
      <c r="O583" s="15"/>
      <c r="U583" s="15"/>
    </row>
    <row r="584" spans="15:21" ht="12.75">
      <c r="O584" s="15"/>
      <c r="U584" s="15"/>
    </row>
    <row r="585" spans="15:21" ht="12.75">
      <c r="O585" s="15"/>
      <c r="U585" s="15"/>
    </row>
    <row r="586" spans="15:21" ht="12.75">
      <c r="O586" s="15"/>
      <c r="U586" s="15"/>
    </row>
    <row r="587" spans="15:21" ht="12.75">
      <c r="O587" s="15"/>
      <c r="U587" s="15"/>
    </row>
    <row r="588" spans="15:21" ht="12.75">
      <c r="O588" s="15"/>
      <c r="U588" s="15"/>
    </row>
    <row r="589" spans="15:21" ht="12.75">
      <c r="O589" s="15"/>
      <c r="U589" s="15"/>
    </row>
    <row r="590" spans="15:21" ht="12.75">
      <c r="O590" s="15"/>
      <c r="U590" s="15"/>
    </row>
    <row r="591" spans="15:21" ht="12.75">
      <c r="O591" s="15"/>
      <c r="U591" s="15"/>
    </row>
    <row r="592" spans="15:21" ht="12.75">
      <c r="O592" s="15"/>
      <c r="U592" s="15"/>
    </row>
    <row r="593" spans="15:21" ht="12.75">
      <c r="O593" s="15"/>
      <c r="U593" s="15"/>
    </row>
    <row r="594" spans="15:21" ht="12.75">
      <c r="O594" s="15"/>
      <c r="U594" s="15"/>
    </row>
    <row r="595" spans="15:21" ht="12.75">
      <c r="O595" s="15"/>
      <c r="U595" s="15"/>
    </row>
    <row r="596" spans="15:21" ht="12.75">
      <c r="O596" s="15"/>
      <c r="U596" s="15"/>
    </row>
    <row r="597" spans="15:21" ht="12.75">
      <c r="O597" s="15"/>
      <c r="U597" s="15"/>
    </row>
    <row r="598" spans="15:21" ht="12.75">
      <c r="O598" s="15"/>
      <c r="U598" s="15"/>
    </row>
    <row r="599" spans="15:21" ht="12.75">
      <c r="O599" s="15"/>
      <c r="U599" s="15"/>
    </row>
    <row r="600" spans="15:21" ht="12.75">
      <c r="O600" s="15"/>
      <c r="U600" s="15"/>
    </row>
    <row r="601" spans="15:21" ht="12.75">
      <c r="O601" s="15"/>
      <c r="U601" s="15"/>
    </row>
    <row r="602" spans="15:21" ht="12.75">
      <c r="O602" s="15"/>
      <c r="U602" s="15"/>
    </row>
    <row r="603" spans="15:21" ht="12.75">
      <c r="O603" s="15"/>
      <c r="U603" s="15"/>
    </row>
    <row r="604" spans="15:21" ht="12.75">
      <c r="O604" s="15"/>
      <c r="U604" s="15"/>
    </row>
    <row r="605" spans="15:21" ht="12.75">
      <c r="O605" s="15"/>
      <c r="U605" s="15"/>
    </row>
    <row r="606" spans="15:21" ht="12.75">
      <c r="O606" s="15"/>
      <c r="U606" s="15"/>
    </row>
    <row r="607" spans="15:21" ht="12.75">
      <c r="O607" s="15"/>
      <c r="U607" s="15"/>
    </row>
    <row r="608" spans="15:21" ht="12.75">
      <c r="O608" s="15"/>
      <c r="U608" s="15"/>
    </row>
    <row r="609" spans="15:21" ht="12.75">
      <c r="O609" s="15"/>
      <c r="U609" s="15"/>
    </row>
    <row r="610" spans="15:21" ht="12.75">
      <c r="O610" s="15"/>
      <c r="U610" s="15"/>
    </row>
    <row r="611" spans="15:21" ht="12.75">
      <c r="O611" s="15"/>
      <c r="U611" s="15"/>
    </row>
    <row r="612" spans="15:21" ht="12.75">
      <c r="O612" s="15"/>
      <c r="U612" s="15"/>
    </row>
    <row r="613" spans="15:21" ht="12.75">
      <c r="O613" s="15"/>
      <c r="U613" s="15"/>
    </row>
    <row r="614" spans="15:21" ht="12.75">
      <c r="O614" s="15"/>
      <c r="U614" s="15"/>
    </row>
    <row r="615" spans="15:21" ht="12.75">
      <c r="O615" s="15"/>
      <c r="U615" s="15"/>
    </row>
    <row r="616" spans="15:21" ht="12.75">
      <c r="O616" s="15"/>
      <c r="U616" s="15"/>
    </row>
    <row r="617" spans="15:21" ht="12.75">
      <c r="O617" s="15"/>
      <c r="U617" s="15"/>
    </row>
    <row r="618" spans="15:21" ht="12.75">
      <c r="O618" s="15"/>
      <c r="U618" s="15"/>
    </row>
    <row r="619" spans="15:21" ht="12.75">
      <c r="O619" s="15"/>
      <c r="U619" s="15"/>
    </row>
    <row r="620" spans="15:21" ht="12.75">
      <c r="O620" s="15"/>
      <c r="U620" s="15"/>
    </row>
    <row r="621" spans="15:21" ht="12.75">
      <c r="O621" s="15"/>
      <c r="U621" s="15"/>
    </row>
    <row r="622" spans="15:21" ht="12.75">
      <c r="O622" s="15"/>
      <c r="U622" s="15"/>
    </row>
    <row r="623" spans="15:21" ht="12.75">
      <c r="O623" s="15"/>
      <c r="U623" s="15"/>
    </row>
    <row r="624" spans="15:21" ht="12.75">
      <c r="O624" s="15"/>
      <c r="U624" s="15"/>
    </row>
    <row r="625" spans="15:21" ht="12.75">
      <c r="O625" s="15"/>
      <c r="U625" s="15"/>
    </row>
    <row r="626" spans="15:21" ht="12.75">
      <c r="O626" s="15"/>
      <c r="U626" s="15"/>
    </row>
    <row r="627" spans="15:21" ht="12.75">
      <c r="O627" s="15"/>
      <c r="U627" s="15"/>
    </row>
    <row r="628" spans="15:21" ht="12.75">
      <c r="O628" s="15"/>
      <c r="U628" s="15"/>
    </row>
    <row r="629" spans="15:21" ht="12.75">
      <c r="O629" s="15"/>
      <c r="U629" s="15"/>
    </row>
    <row r="630" spans="15:21" ht="12.75">
      <c r="O630" s="15"/>
      <c r="U630" s="15"/>
    </row>
    <row r="631" spans="15:21" ht="12.75">
      <c r="O631" s="15"/>
      <c r="U631" s="15"/>
    </row>
    <row r="632" spans="15:21" ht="12.75">
      <c r="O632" s="15"/>
      <c r="U632" s="15"/>
    </row>
    <row r="633" spans="15:21" ht="12.75">
      <c r="O633" s="15"/>
      <c r="U633" s="15"/>
    </row>
    <row r="634" spans="15:21" ht="12.75">
      <c r="O634" s="15"/>
      <c r="U634" s="15"/>
    </row>
    <row r="635" spans="15:21" ht="12.75">
      <c r="O635" s="15"/>
      <c r="U635" s="15"/>
    </row>
    <row r="636" spans="15:21" ht="12.75">
      <c r="O636" s="15"/>
      <c r="U636" s="15"/>
    </row>
    <row r="637" spans="15:21" ht="12.75">
      <c r="O637" s="15"/>
      <c r="U637" s="15"/>
    </row>
    <row r="638" spans="15:21" ht="12.75">
      <c r="O638" s="15"/>
      <c r="U638" s="15"/>
    </row>
    <row r="639" spans="15:21" ht="12.75">
      <c r="O639" s="15"/>
      <c r="U639" s="15"/>
    </row>
    <row r="640" spans="15:21" ht="12.75">
      <c r="O640" s="15"/>
      <c r="U640" s="15"/>
    </row>
    <row r="641" spans="15:21" ht="12.75">
      <c r="O641" s="15"/>
      <c r="U641" s="15"/>
    </row>
    <row r="642" spans="15:21" ht="12.75">
      <c r="O642" s="15"/>
      <c r="U642" s="15"/>
    </row>
    <row r="643" spans="15:21" ht="12.75">
      <c r="O643" s="15"/>
      <c r="U643" s="15"/>
    </row>
    <row r="644" spans="15:21" ht="12.75">
      <c r="O644" s="15"/>
      <c r="U644" s="15"/>
    </row>
    <row r="645" spans="15:21" ht="12.75">
      <c r="O645" s="15"/>
      <c r="U645" s="15"/>
    </row>
    <row r="646" spans="15:21" ht="12.75">
      <c r="O646" s="15"/>
      <c r="U646" s="15"/>
    </row>
    <row r="647" spans="15:21" ht="12.75">
      <c r="O647" s="15"/>
      <c r="U647" s="15"/>
    </row>
    <row r="648" spans="15:21" ht="12.75">
      <c r="O648" s="15"/>
      <c r="U648" s="15"/>
    </row>
    <row r="649" spans="15:21" ht="12.75">
      <c r="O649" s="15"/>
      <c r="U649" s="15"/>
    </row>
    <row r="650" spans="15:21" ht="12.75">
      <c r="O650" s="15"/>
      <c r="U650" s="15"/>
    </row>
    <row r="651" spans="15:21" ht="12.75">
      <c r="O651" s="15"/>
      <c r="U651" s="15"/>
    </row>
    <row r="652" spans="15:21" ht="12.75">
      <c r="O652" s="15"/>
      <c r="U652" s="15"/>
    </row>
    <row r="653" spans="15:21" ht="12.75">
      <c r="O653" s="15"/>
      <c r="U653" s="15"/>
    </row>
    <row r="654" spans="15:21" ht="12.75">
      <c r="O654" s="15"/>
      <c r="U654" s="15"/>
    </row>
    <row r="655" spans="15:21" ht="12.75">
      <c r="O655" s="15"/>
      <c r="U655" s="15"/>
    </row>
    <row r="656" spans="15:21" ht="12.75">
      <c r="O656" s="15"/>
      <c r="U656" s="15"/>
    </row>
    <row r="657" spans="15:21" ht="12.75">
      <c r="O657" s="15"/>
      <c r="U657" s="15"/>
    </row>
    <row r="658" spans="15:21" ht="12.75">
      <c r="O658" s="15"/>
      <c r="U658" s="15"/>
    </row>
    <row r="659" spans="15:21" ht="12.75">
      <c r="O659" s="15"/>
      <c r="U659" s="15"/>
    </row>
    <row r="660" spans="15:21" ht="12.75">
      <c r="O660" s="15"/>
      <c r="U660" s="15"/>
    </row>
    <row r="661" spans="15:21" ht="12.75">
      <c r="O661" s="15"/>
      <c r="U661" s="15"/>
    </row>
    <row r="662" spans="15:21" ht="12.75">
      <c r="O662" s="15"/>
      <c r="U662" s="15"/>
    </row>
    <row r="663" spans="15:21" ht="12.75">
      <c r="O663" s="15"/>
      <c r="U663" s="15"/>
    </row>
    <row r="664" spans="15:21" ht="12.75">
      <c r="O664" s="15"/>
      <c r="U664" s="15"/>
    </row>
    <row r="665" spans="15:21" ht="12.75">
      <c r="O665" s="15"/>
      <c r="U665" s="15"/>
    </row>
    <row r="666" spans="15:21" ht="12.75">
      <c r="O666" s="15"/>
      <c r="U666" s="15"/>
    </row>
    <row r="667" spans="15:21" ht="12.75">
      <c r="O667" s="15"/>
      <c r="U667" s="15"/>
    </row>
    <row r="668" spans="15:21" ht="12.75">
      <c r="O668" s="15"/>
      <c r="U668" s="15"/>
    </row>
    <row r="669" spans="15:21" ht="12.75">
      <c r="O669" s="15"/>
      <c r="U669" s="15"/>
    </row>
    <row r="670" spans="15:21" ht="12.75">
      <c r="O670" s="15"/>
      <c r="U670" s="15"/>
    </row>
    <row r="671" spans="15:21" ht="12.75">
      <c r="O671" s="15"/>
      <c r="U671" s="15"/>
    </row>
    <row r="672" spans="15:21" ht="12.75">
      <c r="O672" s="15"/>
      <c r="U672" s="15"/>
    </row>
    <row r="673" spans="15:21" ht="12.75">
      <c r="O673" s="15"/>
      <c r="U673" s="15"/>
    </row>
    <row r="674" spans="15:21" ht="12.75">
      <c r="O674" s="15"/>
      <c r="U674" s="15"/>
    </row>
    <row r="675" spans="15:21" ht="12.75">
      <c r="O675" s="15"/>
      <c r="U675" s="15"/>
    </row>
    <row r="676" spans="15:21" ht="12.75">
      <c r="O676" s="15"/>
      <c r="U676" s="15"/>
    </row>
    <row r="677" spans="15:21" ht="12.75">
      <c r="O677" s="15"/>
      <c r="U677" s="15"/>
    </row>
    <row r="678" spans="15:21" ht="12.75">
      <c r="O678" s="15"/>
      <c r="U678" s="15"/>
    </row>
    <row r="679" spans="15:21" ht="12.75">
      <c r="O679" s="15"/>
      <c r="U679" s="15"/>
    </row>
    <row r="680" spans="15:21" ht="12.75">
      <c r="O680" s="15"/>
      <c r="U680" s="15"/>
    </row>
    <row r="681" spans="15:21" ht="12.75">
      <c r="O681" s="15"/>
      <c r="U681" s="15"/>
    </row>
    <row r="682" spans="15:21" ht="12.75">
      <c r="O682" s="15"/>
      <c r="U682" s="15"/>
    </row>
    <row r="683" spans="15:21" ht="12.75">
      <c r="O683" s="15"/>
      <c r="U683" s="15"/>
    </row>
    <row r="684" spans="15:21" ht="12.75">
      <c r="O684" s="15"/>
      <c r="U684" s="15"/>
    </row>
    <row r="685" spans="15:21" ht="12.75">
      <c r="O685" s="15"/>
      <c r="U685" s="15"/>
    </row>
    <row r="686" spans="15:21" ht="12.75">
      <c r="O686" s="15"/>
      <c r="U686" s="15"/>
    </row>
    <row r="687" spans="15:21" ht="12.75">
      <c r="O687" s="15"/>
      <c r="U687" s="15"/>
    </row>
    <row r="688" ht="12.75">
      <c r="O688" s="15"/>
    </row>
    <row r="689" ht="12.75">
      <c r="O689" s="15"/>
    </row>
    <row r="690" ht="12.75">
      <c r="O690" s="15"/>
    </row>
    <row r="691" ht="12.75">
      <c r="O691" s="15"/>
    </row>
    <row r="692" ht="12.75">
      <c r="O692" s="15"/>
    </row>
    <row r="693" ht="12.75">
      <c r="O693" s="15"/>
    </row>
    <row r="694" ht="12.75">
      <c r="O694" s="15"/>
    </row>
    <row r="695" ht="12.75">
      <c r="O695" s="15"/>
    </row>
    <row r="696" ht="12.75">
      <c r="O696" s="15"/>
    </row>
    <row r="697" ht="12.75">
      <c r="O697" s="15"/>
    </row>
    <row r="698" ht="12.75">
      <c r="O698" s="15"/>
    </row>
    <row r="699" ht="12.75">
      <c r="O699" s="15"/>
    </row>
    <row r="700" ht="12.75">
      <c r="O700" s="15"/>
    </row>
    <row r="701" ht="12.75">
      <c r="O701" s="15"/>
    </row>
    <row r="702" ht="12.75">
      <c r="O702" s="15"/>
    </row>
    <row r="703" ht="12.75">
      <c r="O703" s="15"/>
    </row>
    <row r="704" ht="12.75">
      <c r="O704" s="15"/>
    </row>
    <row r="705" ht="12.75">
      <c r="O705" s="15"/>
    </row>
    <row r="706" ht="12.75">
      <c r="O706" s="15"/>
    </row>
    <row r="707" ht="12.75">
      <c r="O707" s="15"/>
    </row>
    <row r="708" ht="12.75">
      <c r="O708" s="15"/>
    </row>
    <row r="709" ht="12.75">
      <c r="O709" s="15"/>
    </row>
    <row r="710" ht="12.75">
      <c r="O710" s="15"/>
    </row>
    <row r="711" ht="12.75">
      <c r="O711" s="15"/>
    </row>
    <row r="712" ht="12.75">
      <c r="O712" s="15"/>
    </row>
    <row r="713" ht="12.75">
      <c r="O713" s="15"/>
    </row>
    <row r="714" ht="12.75">
      <c r="O714" s="15"/>
    </row>
    <row r="715" ht="12.75">
      <c r="O715" s="15"/>
    </row>
    <row r="716" ht="12.75">
      <c r="O716" s="15"/>
    </row>
    <row r="717" ht="12.75">
      <c r="O717" s="15"/>
    </row>
    <row r="718" ht="12.75">
      <c r="O718" s="15"/>
    </row>
    <row r="719" ht="12.75">
      <c r="O719" s="15"/>
    </row>
    <row r="720" ht="12.75">
      <c r="O720" s="15"/>
    </row>
    <row r="721" ht="12.75">
      <c r="O721" s="15"/>
    </row>
    <row r="722" ht="12.75">
      <c r="O722" s="15"/>
    </row>
    <row r="723" ht="12.75">
      <c r="O723" s="15"/>
    </row>
    <row r="724" ht="12.75">
      <c r="O724" s="15"/>
    </row>
    <row r="725" ht="12.75">
      <c r="O725" s="15"/>
    </row>
    <row r="726" ht="12.75">
      <c r="O726" s="15"/>
    </row>
    <row r="727" ht="12.75">
      <c r="O727" s="15"/>
    </row>
    <row r="728" ht="12.75">
      <c r="O728" s="15"/>
    </row>
    <row r="729" ht="12.75">
      <c r="O729" s="15"/>
    </row>
    <row r="730" ht="12.75">
      <c r="O730" s="15"/>
    </row>
    <row r="731" ht="12.75">
      <c r="O731" s="15"/>
    </row>
    <row r="732" ht="12.75">
      <c r="O732" s="15"/>
    </row>
    <row r="733" ht="12.75">
      <c r="O733" s="15"/>
    </row>
    <row r="734" ht="12.75">
      <c r="O734" s="15"/>
    </row>
    <row r="735" ht="12.75">
      <c r="O735" s="15"/>
    </row>
    <row r="736" ht="12.75">
      <c r="O736" s="15"/>
    </row>
    <row r="737" ht="12.75">
      <c r="O737" s="15"/>
    </row>
    <row r="738" ht="12.75">
      <c r="O738" s="15"/>
    </row>
    <row r="739" ht="12.75">
      <c r="O739" s="15"/>
    </row>
    <row r="740" ht="12.75">
      <c r="O740" s="15"/>
    </row>
    <row r="741" ht="12.75">
      <c r="O741" s="15"/>
    </row>
    <row r="742" ht="12.75">
      <c r="O742" s="15"/>
    </row>
    <row r="743" ht="12.75">
      <c r="O743" s="15"/>
    </row>
    <row r="744" ht="12.75">
      <c r="O744" s="15"/>
    </row>
    <row r="745" ht="12.75">
      <c r="O745" s="15"/>
    </row>
    <row r="746" ht="12.75">
      <c r="O746" s="15"/>
    </row>
    <row r="747" ht="12.75">
      <c r="O747" s="15"/>
    </row>
    <row r="748" ht="12.75">
      <c r="O748" s="15"/>
    </row>
    <row r="749" ht="12.75">
      <c r="O749" s="15"/>
    </row>
    <row r="750" ht="12.75">
      <c r="O750" s="15"/>
    </row>
    <row r="751" ht="12.75">
      <c r="O751" s="15"/>
    </row>
    <row r="752" ht="12.75">
      <c r="O752" s="15"/>
    </row>
    <row r="753" ht="12.75">
      <c r="O753" s="15"/>
    </row>
    <row r="754" ht="12.75">
      <c r="O754" s="15"/>
    </row>
    <row r="755" ht="12.75">
      <c r="O755" s="15"/>
    </row>
    <row r="756" ht="12.75">
      <c r="O756" s="15"/>
    </row>
    <row r="757" ht="12.75">
      <c r="O757" s="15"/>
    </row>
    <row r="758" ht="12.75">
      <c r="O758" s="15"/>
    </row>
    <row r="759" ht="12.75">
      <c r="O759" s="15"/>
    </row>
    <row r="760" ht="12.75">
      <c r="O760" s="15"/>
    </row>
    <row r="761" ht="12.75">
      <c r="O761" s="15"/>
    </row>
    <row r="762" ht="12.75">
      <c r="O762" s="15"/>
    </row>
    <row r="763" ht="12.75">
      <c r="O763" s="15"/>
    </row>
    <row r="764" ht="12.75">
      <c r="O764" s="15"/>
    </row>
    <row r="765" ht="12.75">
      <c r="O765" s="15"/>
    </row>
    <row r="766" ht="12.75">
      <c r="O766" s="15"/>
    </row>
    <row r="767" ht="12.75">
      <c r="O767" s="15"/>
    </row>
    <row r="768" ht="12.75">
      <c r="O768" s="15"/>
    </row>
    <row r="769" ht="12.75">
      <c r="O769" s="15"/>
    </row>
    <row r="770" ht="12.75">
      <c r="O770" s="15"/>
    </row>
    <row r="771" ht="12.75">
      <c r="O771" s="15"/>
    </row>
    <row r="772" ht="12.75">
      <c r="O772" s="15"/>
    </row>
    <row r="773" ht="12.75">
      <c r="O773" s="15"/>
    </row>
    <row r="774" ht="12.75">
      <c r="O774" s="15"/>
    </row>
    <row r="775" ht="12.75">
      <c r="O775" s="15"/>
    </row>
    <row r="776" ht="12.75">
      <c r="O776" s="15"/>
    </row>
    <row r="777" ht="12.75">
      <c r="O777" s="15"/>
    </row>
    <row r="778" ht="12.75">
      <c r="O778" s="15"/>
    </row>
    <row r="779" ht="12.75">
      <c r="O779" s="15"/>
    </row>
    <row r="780" ht="12.75">
      <c r="O780" s="15"/>
    </row>
    <row r="781" ht="12.75">
      <c r="O781" s="15"/>
    </row>
    <row r="782" ht="12.75">
      <c r="O782" s="15"/>
    </row>
    <row r="783" ht="12.75">
      <c r="O783" s="15"/>
    </row>
    <row r="784" ht="12.75">
      <c r="O784" s="15"/>
    </row>
    <row r="785" ht="12.75">
      <c r="O785" s="15"/>
    </row>
    <row r="786" ht="12.75">
      <c r="O786" s="15"/>
    </row>
    <row r="787" ht="12.75">
      <c r="O787" s="15"/>
    </row>
    <row r="788" ht="12.75">
      <c r="O788" s="15"/>
    </row>
    <row r="789" ht="12.75">
      <c r="O789" s="15"/>
    </row>
    <row r="790" ht="12.75">
      <c r="O790" s="15"/>
    </row>
    <row r="791" ht="12.75">
      <c r="O791" s="15"/>
    </row>
    <row r="792" ht="12.75">
      <c r="O792" s="15"/>
    </row>
    <row r="793" ht="12.75">
      <c r="O793" s="15"/>
    </row>
    <row r="794" ht="12.75">
      <c r="O794" s="15"/>
    </row>
    <row r="795" ht="12.75">
      <c r="O795" s="15"/>
    </row>
    <row r="796" ht="12.75">
      <c r="O796" s="15"/>
    </row>
    <row r="797" ht="12.75">
      <c r="O797" s="15"/>
    </row>
    <row r="798" ht="12.75">
      <c r="O798" s="15"/>
    </row>
    <row r="799" ht="12.75">
      <c r="O799" s="15"/>
    </row>
    <row r="800" ht="12.75">
      <c r="O800" s="15"/>
    </row>
    <row r="801" ht="12.75">
      <c r="O801" s="15"/>
    </row>
    <row r="802" ht="12.75">
      <c r="O802" s="15"/>
    </row>
    <row r="803" ht="12.75">
      <c r="O803" s="15"/>
    </row>
    <row r="804" ht="12.75">
      <c r="O804" s="15"/>
    </row>
    <row r="805" ht="12.75">
      <c r="O805" s="15"/>
    </row>
    <row r="806" ht="12.75">
      <c r="O806" s="15"/>
    </row>
    <row r="807" ht="12.75">
      <c r="O807" s="15"/>
    </row>
    <row r="808" ht="12.75">
      <c r="O808" s="15"/>
    </row>
    <row r="809" ht="12.75">
      <c r="O809" s="15"/>
    </row>
    <row r="810" ht="12.75">
      <c r="O810" s="15"/>
    </row>
    <row r="811" ht="12.75">
      <c r="O811" s="15"/>
    </row>
    <row r="812" ht="12.75">
      <c r="O812" s="15"/>
    </row>
    <row r="813" ht="12.75">
      <c r="O813" s="15"/>
    </row>
    <row r="814" ht="12.75">
      <c r="O814" s="15"/>
    </row>
    <row r="815" ht="12.75">
      <c r="O815" s="15"/>
    </row>
    <row r="816" ht="12.75">
      <c r="O816" s="15"/>
    </row>
    <row r="817" ht="12.75">
      <c r="O817" s="15"/>
    </row>
    <row r="818" ht="12.75">
      <c r="O818" s="15"/>
    </row>
    <row r="819" ht="12.75">
      <c r="O819" s="15"/>
    </row>
    <row r="820" ht="12.75">
      <c r="O820" s="15"/>
    </row>
    <row r="821" ht="12.75">
      <c r="O821" s="15"/>
    </row>
    <row r="822" ht="12.75">
      <c r="O822" s="15"/>
    </row>
    <row r="823" ht="12.75">
      <c r="O823" s="15"/>
    </row>
    <row r="824" ht="12.75">
      <c r="O824" s="15"/>
    </row>
    <row r="825" ht="12.75">
      <c r="O825" s="15"/>
    </row>
    <row r="826" ht="12.75">
      <c r="O826" s="15"/>
    </row>
    <row r="827" ht="12.75">
      <c r="O827" s="15"/>
    </row>
    <row r="828" ht="12.75">
      <c r="O828" s="15"/>
    </row>
    <row r="829" ht="12.75">
      <c r="O829" s="15"/>
    </row>
    <row r="830" ht="12.75">
      <c r="O830" s="15"/>
    </row>
    <row r="831" ht="12.75">
      <c r="O831" s="15"/>
    </row>
    <row r="832" ht="12.75">
      <c r="O832" s="15"/>
    </row>
    <row r="833" ht="12.75">
      <c r="O833" s="15"/>
    </row>
    <row r="834" ht="12.75">
      <c r="O834" s="15"/>
    </row>
    <row r="835" ht="12.75">
      <c r="O835" s="15"/>
    </row>
    <row r="836" ht="12.75">
      <c r="O836" s="15"/>
    </row>
    <row r="837" ht="12.75">
      <c r="O837" s="15"/>
    </row>
    <row r="838" ht="12.75">
      <c r="O838" s="15"/>
    </row>
    <row r="839" ht="12.75">
      <c r="O839" s="15"/>
    </row>
    <row r="840" ht="12.75">
      <c r="O840" s="15"/>
    </row>
    <row r="841" ht="12.75">
      <c r="O841" s="15"/>
    </row>
    <row r="842" ht="12.75">
      <c r="O842" s="15"/>
    </row>
    <row r="843" ht="12.75">
      <c r="O843" s="15"/>
    </row>
  </sheetData>
  <printOptions/>
  <pageMargins left="0.75" right="0.75" top="1" bottom="1" header="0.5" footer="0.5"/>
  <pageSetup fitToHeight="1" fitToWidth="1" horizontalDpi="600" verticalDpi="600" orientation="landscape" paperSize="8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52">
      <pane xSplit="1" topLeftCell="B1" activePane="topRight" state="frozen"/>
      <selection pane="topLeft" activeCell="A52" sqref="A52"/>
      <selection pane="topRight" activeCell="M89" sqref="M89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8.8515625" style="28" customWidth="1"/>
    <col min="4" max="4" width="9.28125" style="28" customWidth="1"/>
    <col min="5" max="5" width="7.8515625" style="28" customWidth="1"/>
    <col min="6" max="6" width="8.140625" style="28" customWidth="1"/>
    <col min="7" max="7" width="11.28125" style="5" customWidth="1"/>
    <col min="8" max="8" width="12.28125" style="7" customWidth="1"/>
    <col min="9" max="9" width="12.28125" style="6" customWidth="1"/>
    <col min="10" max="10" width="11.57421875" style="4" customWidth="1"/>
    <col min="11" max="11" width="10.57421875" style="17" customWidth="1"/>
    <col min="12" max="12" width="10.57421875" style="4" customWidth="1"/>
    <col min="13" max="13" width="11.28125" style="23" customWidth="1"/>
    <col min="14" max="15" width="10.57421875" style="31" customWidth="1"/>
    <col min="16" max="18" width="10.57421875" style="13" customWidth="1"/>
    <col min="19" max="20" width="10.7109375" style="23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149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6"/>
      <c r="Z81" s="32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7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7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8" scale="72" r:id="rId1"/>
  <colBreaks count="3" manualBreakCount="3">
    <brk id="20" max="81" man="1"/>
    <brk id="21" max="80" man="1"/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51" customWidth="1"/>
    <col min="2" max="3" width="10.00390625" style="0" customWidth="1"/>
    <col min="4" max="4" width="10.00390625" style="153" customWidth="1"/>
    <col min="5" max="5" width="5.28125" style="150" customWidth="1"/>
    <col min="6" max="6" width="5.140625" style="150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53" customWidth="1"/>
    <col min="11" max="11" width="11.7109375" style="0" customWidth="1"/>
    <col min="12" max="13" width="9.140625" style="150" customWidth="1"/>
    <col min="18" max="18" width="9.140625" style="151" customWidth="1"/>
    <col min="20" max="20" width="9.140625" style="152" customWidth="1"/>
  </cols>
  <sheetData>
    <row r="1" spans="2:18" ht="12.75">
      <c r="B1" t="s">
        <v>202</v>
      </c>
      <c r="C1" t="s">
        <v>203</v>
      </c>
      <c r="D1" s="153" t="s">
        <v>204</v>
      </c>
      <c r="E1" s="150" t="s">
        <v>205</v>
      </c>
      <c r="F1" s="150" t="s">
        <v>206</v>
      </c>
      <c r="G1" t="s">
        <v>207</v>
      </c>
      <c r="H1" t="s">
        <v>208</v>
      </c>
      <c r="I1" t="s">
        <v>202</v>
      </c>
      <c r="J1" s="153" t="s">
        <v>209</v>
      </c>
      <c r="K1" t="s">
        <v>217</v>
      </c>
      <c r="L1" s="150" t="s">
        <v>205</v>
      </c>
      <c r="M1" s="150" t="s">
        <v>206</v>
      </c>
      <c r="N1" t="s">
        <v>207</v>
      </c>
      <c r="O1" t="s">
        <v>222</v>
      </c>
      <c r="P1" t="s">
        <v>202</v>
      </c>
      <c r="Q1" t="s">
        <v>203</v>
      </c>
      <c r="R1" s="151" t="s">
        <v>204</v>
      </c>
    </row>
    <row r="2" spans="1:17" ht="12.75">
      <c r="A2" s="151" t="s">
        <v>229</v>
      </c>
      <c r="B2" s="149" t="s">
        <v>210</v>
      </c>
      <c r="C2" s="149"/>
      <c r="E2" s="149"/>
      <c r="F2" s="149"/>
      <c r="G2" s="149"/>
      <c r="H2" s="149"/>
      <c r="I2" s="149"/>
      <c r="K2" s="149"/>
      <c r="N2" s="149"/>
      <c r="O2" s="149"/>
      <c r="P2" s="149"/>
      <c r="Q2" s="149"/>
    </row>
    <row r="3" spans="1:17" ht="12.75">
      <c r="A3" s="151" t="s">
        <v>230</v>
      </c>
      <c r="B3" s="149"/>
      <c r="C3" s="149" t="s">
        <v>211</v>
      </c>
      <c r="E3" s="149"/>
      <c r="F3" s="149"/>
      <c r="G3" s="149"/>
      <c r="H3" s="149"/>
      <c r="I3" s="149"/>
      <c r="K3" s="149"/>
      <c r="N3" s="149"/>
      <c r="O3" s="149"/>
      <c r="P3" s="149"/>
      <c r="Q3" s="149"/>
    </row>
    <row r="4" spans="1:17" ht="12.75">
      <c r="A4" s="152" t="s">
        <v>231</v>
      </c>
      <c r="B4" s="149"/>
      <c r="C4" s="149"/>
      <c r="D4" s="153" t="s">
        <v>212</v>
      </c>
      <c r="E4" s="149"/>
      <c r="F4" s="149"/>
      <c r="G4" s="149"/>
      <c r="H4" s="149"/>
      <c r="I4" s="149"/>
      <c r="K4" s="149"/>
      <c r="N4" s="149"/>
      <c r="O4" s="149"/>
      <c r="P4" s="149"/>
      <c r="Q4" s="149"/>
    </row>
    <row r="5" spans="2:17" ht="12.75">
      <c r="B5" s="149"/>
      <c r="C5" s="149"/>
      <c r="E5" s="149"/>
      <c r="F5" s="149"/>
      <c r="G5" s="149" t="s">
        <v>214</v>
      </c>
      <c r="H5" s="149"/>
      <c r="I5" s="149"/>
      <c r="K5" s="149"/>
      <c r="N5" s="149"/>
      <c r="O5" s="149"/>
      <c r="P5" s="149"/>
      <c r="Q5" s="149"/>
    </row>
    <row r="6" spans="2:17" ht="12.75">
      <c r="B6" s="149"/>
      <c r="C6" s="149"/>
      <c r="E6" s="149"/>
      <c r="F6" s="149"/>
      <c r="G6" s="149"/>
      <c r="H6" s="149" t="s">
        <v>213</v>
      </c>
      <c r="I6" s="149"/>
      <c r="K6" s="149"/>
      <c r="N6" s="149"/>
      <c r="O6" s="149"/>
      <c r="P6" s="149"/>
      <c r="Q6" s="149"/>
    </row>
    <row r="7" spans="2:18" ht="12.75">
      <c r="B7" s="149" t="s">
        <v>233</v>
      </c>
      <c r="C7" s="149" t="s">
        <v>233</v>
      </c>
      <c r="D7" s="153" t="s">
        <v>233</v>
      </c>
      <c r="E7" s="149"/>
      <c r="F7" s="149"/>
      <c r="G7" s="149" t="s">
        <v>233</v>
      </c>
      <c r="H7" s="149" t="s">
        <v>232</v>
      </c>
      <c r="I7" s="149" t="s">
        <v>215</v>
      </c>
      <c r="K7" s="149" t="s">
        <v>241</v>
      </c>
      <c r="N7" s="149" t="s">
        <v>218</v>
      </c>
      <c r="O7" s="149"/>
      <c r="P7" s="149"/>
      <c r="Q7" s="149"/>
      <c r="R7" s="151" t="s">
        <v>223</v>
      </c>
    </row>
    <row r="8" spans="2:17" ht="12.75">
      <c r="B8" s="149"/>
      <c r="C8" s="149"/>
      <c r="E8" s="149"/>
      <c r="F8" s="149"/>
      <c r="G8" s="149"/>
      <c r="H8" s="152" t="s">
        <v>234</v>
      </c>
      <c r="I8" s="149"/>
      <c r="K8" s="149" t="s">
        <v>216</v>
      </c>
      <c r="N8" s="149" t="s">
        <v>219</v>
      </c>
      <c r="O8" s="149"/>
      <c r="P8" s="149"/>
      <c r="Q8" s="149"/>
    </row>
    <row r="9" spans="2:17" ht="12.75">
      <c r="B9" s="149"/>
      <c r="C9" s="149"/>
      <c r="E9" s="149"/>
      <c r="F9" s="149"/>
      <c r="G9" s="149"/>
      <c r="H9" s="149"/>
      <c r="I9" s="149"/>
      <c r="K9" s="149"/>
      <c r="N9" s="149" t="s">
        <v>220</v>
      </c>
      <c r="O9" s="149"/>
      <c r="P9" s="149"/>
      <c r="Q9" s="149"/>
    </row>
    <row r="10" spans="2:17" ht="12.75">
      <c r="B10" s="149"/>
      <c r="C10" s="149"/>
      <c r="E10" s="149"/>
      <c r="F10" s="149"/>
      <c r="G10" s="149"/>
      <c r="H10" s="149"/>
      <c r="I10" s="149"/>
      <c r="K10" s="149"/>
      <c r="N10" s="149" t="s">
        <v>221</v>
      </c>
      <c r="O10" s="149"/>
      <c r="P10" s="149"/>
      <c r="Q10" s="149"/>
    </row>
    <row r="11" spans="2:18" ht="12.75">
      <c r="B11">
        <v>1</v>
      </c>
      <c r="C11">
        <v>2</v>
      </c>
      <c r="D11" s="153">
        <v>3</v>
      </c>
      <c r="E11" s="150">
        <v>4</v>
      </c>
      <c r="F11" s="150">
        <v>5</v>
      </c>
      <c r="G11">
        <v>6</v>
      </c>
      <c r="H11">
        <v>7</v>
      </c>
      <c r="I11">
        <v>8</v>
      </c>
      <c r="J11" s="153">
        <v>9</v>
      </c>
      <c r="K11">
        <v>10</v>
      </c>
      <c r="L11" s="150">
        <v>11</v>
      </c>
      <c r="M11" s="150">
        <v>12</v>
      </c>
      <c r="N11">
        <v>13</v>
      </c>
      <c r="O11">
        <v>14</v>
      </c>
      <c r="P11">
        <v>15</v>
      </c>
      <c r="Q11">
        <v>16</v>
      </c>
      <c r="R11" s="151">
        <v>17</v>
      </c>
    </row>
    <row r="12" ht="12.75">
      <c r="S12" t="s">
        <v>238</v>
      </c>
    </row>
    <row r="13" spans="2:20" ht="12.75">
      <c r="B13" t="s">
        <v>224</v>
      </c>
      <c r="T13" s="152" t="s">
        <v>239</v>
      </c>
    </row>
    <row r="14" spans="2:3" ht="12.75">
      <c r="B14" t="s">
        <v>225</v>
      </c>
      <c r="C14" t="s">
        <v>226</v>
      </c>
    </row>
    <row r="15" spans="4:20" ht="12.75">
      <c r="D15" s="153" t="s">
        <v>227</v>
      </c>
      <c r="T15" s="152" t="s">
        <v>240</v>
      </c>
    </row>
    <row r="16" ht="12.75">
      <c r="G16" t="s">
        <v>228</v>
      </c>
    </row>
    <row r="17" ht="12.75">
      <c r="H17" t="s">
        <v>228</v>
      </c>
    </row>
    <row r="18" ht="12.75">
      <c r="I18" t="s">
        <v>228</v>
      </c>
    </row>
    <row r="20" spans="8:15" ht="12.75">
      <c r="H20" t="s">
        <v>235</v>
      </c>
      <c r="O20" t="s">
        <v>235</v>
      </c>
    </row>
    <row r="21" spans="8:15" ht="12.75">
      <c r="H21" t="s">
        <v>237</v>
      </c>
      <c r="O21" t="s">
        <v>236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H51"/>
  <sheetViews>
    <sheetView workbookViewId="0" topLeftCell="A1">
      <selection activeCell="D3" sqref="D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25.8515625" style="0" customWidth="1"/>
  </cols>
  <sheetData>
    <row r="11" spans="2:7" ht="12.75">
      <c r="B11" s="43" t="s">
        <v>145</v>
      </c>
      <c r="C11" s="99" t="s">
        <v>146</v>
      </c>
      <c r="D11" s="41" t="s">
        <v>147</v>
      </c>
      <c r="E11" s="41" t="s">
        <v>150</v>
      </c>
      <c r="F11" s="41" t="s">
        <v>148</v>
      </c>
      <c r="G11" s="41" t="s">
        <v>149</v>
      </c>
    </row>
    <row r="12" spans="1:7" ht="12.75">
      <c r="A12" t="s">
        <v>242</v>
      </c>
      <c r="B12" s="189" t="s">
        <v>143</v>
      </c>
      <c r="C12" s="41"/>
      <c r="D12" s="41"/>
      <c r="E12" s="41"/>
      <c r="F12" s="41"/>
      <c r="G12" s="41"/>
    </row>
    <row r="13" spans="1:7" ht="12.75">
      <c r="A13">
        <f>SUM(D15:D17,D32,D43:D44)</f>
        <v>47444</v>
      </c>
      <c r="B13" s="41"/>
      <c r="C13" s="41" t="s">
        <v>155</v>
      </c>
      <c r="D13" s="41">
        <v>9300</v>
      </c>
      <c r="E13" s="41"/>
      <c r="F13" s="41">
        <v>9170</v>
      </c>
      <c r="G13" s="41"/>
    </row>
    <row r="14" spans="1:7" ht="12.75">
      <c r="A14" t="s">
        <v>243</v>
      </c>
      <c r="B14" s="41"/>
      <c r="C14" s="41"/>
      <c r="D14" s="41"/>
      <c r="E14" s="41"/>
      <c r="F14" s="41">
        <v>103</v>
      </c>
      <c r="G14" s="41"/>
    </row>
    <row r="15" spans="1:7" ht="12.75">
      <c r="A15">
        <f>SUM(D18:D21)</f>
        <v>52230</v>
      </c>
      <c r="B15" s="41"/>
      <c r="C15" s="41" t="s">
        <v>153</v>
      </c>
      <c r="D15" s="41">
        <v>14600</v>
      </c>
      <c r="E15" s="41" t="s">
        <v>99</v>
      </c>
      <c r="F15" s="83">
        <f>2340+6000+114+7370</f>
        <v>15824</v>
      </c>
      <c r="G15" s="41" t="s">
        <v>114</v>
      </c>
    </row>
    <row r="16" spans="2:7" ht="12.75">
      <c r="B16" s="41" t="s">
        <v>159</v>
      </c>
      <c r="C16" s="41" t="s">
        <v>144</v>
      </c>
      <c r="D16" s="41">
        <v>10000</v>
      </c>
      <c r="E16" s="41" t="s">
        <v>99</v>
      </c>
      <c r="F16" s="83">
        <v>10000</v>
      </c>
      <c r="G16" s="41" t="s">
        <v>114</v>
      </c>
    </row>
    <row r="17" spans="2:7" ht="12.75">
      <c r="B17" s="41"/>
      <c r="C17" s="41" t="s">
        <v>156</v>
      </c>
      <c r="D17" s="41">
        <v>10740</v>
      </c>
      <c r="E17" s="41" t="s">
        <v>99</v>
      </c>
      <c r="F17" s="83"/>
      <c r="G17" s="41"/>
    </row>
    <row r="18" spans="2:8" ht="12.75">
      <c r="B18" s="41" t="s">
        <v>157</v>
      </c>
      <c r="C18" s="41" t="s">
        <v>158</v>
      </c>
      <c r="D18" s="41">
        <v>11170</v>
      </c>
      <c r="E18" s="41" t="s">
        <v>99</v>
      </c>
      <c r="F18" s="83"/>
      <c r="G18" s="41"/>
      <c r="H18" t="s">
        <v>175</v>
      </c>
    </row>
    <row r="19" spans="2:8" ht="12.75">
      <c r="B19" s="41" t="s">
        <v>174</v>
      </c>
      <c r="C19" s="41" t="s">
        <v>173</v>
      </c>
      <c r="D19" s="41">
        <v>12730</v>
      </c>
      <c r="E19" s="41" t="s">
        <v>99</v>
      </c>
      <c r="F19" s="83"/>
      <c r="G19" s="41"/>
      <c r="H19" t="s">
        <v>176</v>
      </c>
    </row>
    <row r="20" spans="2:7" ht="12.75">
      <c r="B20" s="41" t="s">
        <v>177</v>
      </c>
      <c r="C20" s="41" t="s">
        <v>179</v>
      </c>
      <c r="D20" s="41">
        <v>15100</v>
      </c>
      <c r="E20" s="41" t="s">
        <v>99</v>
      </c>
      <c r="F20" s="83"/>
      <c r="G20" s="41"/>
    </row>
    <row r="21" spans="1:7" ht="12.75">
      <c r="A21" t="s">
        <v>276</v>
      </c>
      <c r="B21" s="41" t="s">
        <v>178</v>
      </c>
      <c r="C21" s="41" t="s">
        <v>244</v>
      </c>
      <c r="D21" s="41">
        <v>13230</v>
      </c>
      <c r="E21" s="41" t="s">
        <v>99</v>
      </c>
      <c r="F21" s="83"/>
      <c r="G21" s="41"/>
    </row>
    <row r="22" spans="2:7" ht="12.75">
      <c r="B22" s="41" t="s">
        <v>245</v>
      </c>
      <c r="C22" s="41" t="s">
        <v>246</v>
      </c>
      <c r="D22" s="41">
        <v>15330</v>
      </c>
      <c r="E22" s="41" t="s">
        <v>99</v>
      </c>
      <c r="F22" s="83"/>
      <c r="G22" s="41"/>
    </row>
    <row r="23" spans="2:7" ht="12.75">
      <c r="B23" s="41" t="s">
        <v>272</v>
      </c>
      <c r="C23" s="41" t="s">
        <v>273</v>
      </c>
      <c r="D23" s="41">
        <v>18380</v>
      </c>
      <c r="E23" s="41" t="s">
        <v>99</v>
      </c>
      <c r="F23" s="83"/>
      <c r="G23" s="41"/>
    </row>
    <row r="24" spans="2:7" ht="12.75">
      <c r="B24" s="41" t="s">
        <v>274</v>
      </c>
      <c r="C24" s="41" t="s">
        <v>290</v>
      </c>
      <c r="D24" s="41">
        <v>25000</v>
      </c>
      <c r="E24" s="41" t="s">
        <v>24</v>
      </c>
      <c r="F24" s="83"/>
      <c r="G24" s="41"/>
    </row>
    <row r="25" spans="2:7" ht="12.75">
      <c r="B25" s="41" t="s">
        <v>289</v>
      </c>
      <c r="C25" s="41" t="s">
        <v>275</v>
      </c>
      <c r="D25" s="41">
        <v>25000</v>
      </c>
      <c r="E25" s="41" t="s">
        <v>24</v>
      </c>
      <c r="F25" s="83"/>
      <c r="G25" s="41"/>
    </row>
    <row r="26" spans="1:7" ht="12.75">
      <c r="A26" t="s">
        <v>305</v>
      </c>
      <c r="B26" s="41" t="s">
        <v>291</v>
      </c>
      <c r="C26" s="41" t="s">
        <v>299</v>
      </c>
      <c r="D26" s="41">
        <v>25000</v>
      </c>
      <c r="E26" s="41" t="s">
        <v>24</v>
      </c>
      <c r="F26" s="83"/>
      <c r="G26" s="41"/>
    </row>
    <row r="27" spans="2:7" ht="12.75">
      <c r="B27" s="41" t="s">
        <v>292</v>
      </c>
      <c r="C27" s="41" t="s">
        <v>300</v>
      </c>
      <c r="D27" s="41">
        <v>23075</v>
      </c>
      <c r="E27" s="41" t="s">
        <v>24</v>
      </c>
      <c r="F27" s="83"/>
      <c r="G27" s="41"/>
    </row>
    <row r="28" spans="2:7" ht="12.75">
      <c r="B28" s="41" t="s">
        <v>297</v>
      </c>
      <c r="C28" s="41" t="s">
        <v>298</v>
      </c>
      <c r="D28" s="41">
        <v>21760</v>
      </c>
      <c r="E28" s="41" t="s">
        <v>24</v>
      </c>
      <c r="F28" s="83"/>
      <c r="G28" s="41"/>
    </row>
    <row r="29" spans="1:7" ht="12.75">
      <c r="A29" t="s">
        <v>306</v>
      </c>
      <c r="B29" s="41" t="s">
        <v>302</v>
      </c>
      <c r="C29" s="41" t="s">
        <v>303</v>
      </c>
      <c r="D29" s="41">
        <v>25000</v>
      </c>
      <c r="E29" s="41" t="s">
        <v>24</v>
      </c>
      <c r="F29" s="83"/>
      <c r="G29" s="41"/>
    </row>
    <row r="30" spans="2:7" ht="12.75">
      <c r="B30" s="187" t="s">
        <v>301</v>
      </c>
      <c r="C30" s="187"/>
      <c r="D30" s="187">
        <f>SUM(D13:D29)</f>
        <v>275415</v>
      </c>
      <c r="E30" s="41"/>
      <c r="F30" s="83"/>
      <c r="G30" s="41"/>
    </row>
    <row r="31" spans="2:7" ht="12.75">
      <c r="B31" s="41" t="s">
        <v>151</v>
      </c>
      <c r="C31" s="41"/>
      <c r="D31" s="41"/>
      <c r="E31" s="41"/>
      <c r="F31" s="83"/>
      <c r="G31" s="41"/>
    </row>
    <row r="32" spans="2:7" ht="12.75">
      <c r="B32" s="41"/>
      <c r="C32" s="41" t="s">
        <v>153</v>
      </c>
      <c r="D32" s="41">
        <v>948</v>
      </c>
      <c r="E32" s="41" t="s">
        <v>99</v>
      </c>
      <c r="F32" s="83">
        <v>941</v>
      </c>
      <c r="G32" s="41" t="s">
        <v>114</v>
      </c>
    </row>
    <row r="33" spans="2:7" ht="12.75">
      <c r="B33" s="41"/>
      <c r="C33" s="41"/>
      <c r="D33" s="41"/>
      <c r="E33" s="41"/>
      <c r="F33" s="41"/>
      <c r="G33" s="41"/>
    </row>
    <row r="34" spans="2:7" ht="12.75">
      <c r="B34" s="41"/>
      <c r="C34" s="41"/>
      <c r="D34" s="41"/>
      <c r="E34" s="41"/>
      <c r="F34" s="41"/>
      <c r="G34" s="41"/>
    </row>
    <row r="35" spans="2:7" ht="12.75">
      <c r="B35" s="41"/>
      <c r="C35" s="41"/>
      <c r="D35" s="41"/>
      <c r="E35" s="41"/>
      <c r="F35" s="41"/>
      <c r="G35" s="41"/>
    </row>
    <row r="36" spans="2:7" ht="12.75">
      <c r="B36" s="41"/>
      <c r="C36" s="41"/>
      <c r="D36" s="41"/>
      <c r="E36" s="41"/>
      <c r="F36" s="41"/>
      <c r="G36" s="41"/>
    </row>
    <row r="37" spans="2:7" ht="12.75">
      <c r="B37" s="41"/>
      <c r="C37" s="41"/>
      <c r="D37" s="41"/>
      <c r="E37" s="41"/>
      <c r="F37" s="41"/>
      <c r="G37" s="41"/>
    </row>
    <row r="38" spans="2:7" ht="12.75">
      <c r="B38" s="189" t="s">
        <v>152</v>
      </c>
      <c r="C38" s="41"/>
      <c r="D38" s="41"/>
      <c r="E38" s="41"/>
      <c r="F38" s="41"/>
      <c r="G38" s="41"/>
    </row>
    <row r="39" spans="2:7" ht="12.75">
      <c r="B39" s="41"/>
      <c r="C39" s="41" t="s">
        <v>155</v>
      </c>
      <c r="D39" s="41">
        <v>300</v>
      </c>
      <c r="E39" s="41"/>
      <c r="F39" s="41">
        <v>305</v>
      </c>
      <c r="G39" s="41"/>
    </row>
    <row r="40" spans="2:7" ht="12.75">
      <c r="B40" s="41"/>
      <c r="C40" s="41"/>
      <c r="D40" s="41"/>
      <c r="E40" s="41"/>
      <c r="F40" s="41">
        <v>93</v>
      </c>
      <c r="G40" s="41"/>
    </row>
    <row r="41" spans="2:7" ht="12.75">
      <c r="B41" s="41"/>
      <c r="C41" s="41"/>
      <c r="D41" s="41"/>
      <c r="E41" s="41"/>
      <c r="F41" s="41"/>
      <c r="G41" s="41"/>
    </row>
    <row r="42" spans="2:7" ht="12.75">
      <c r="B42" s="41"/>
      <c r="C42" s="41"/>
      <c r="D42" s="41"/>
      <c r="E42" s="41"/>
      <c r="F42" s="41"/>
      <c r="G42" s="41"/>
    </row>
    <row r="43" spans="2:7" ht="12.75">
      <c r="B43" s="41"/>
      <c r="C43" s="41" t="s">
        <v>154</v>
      </c>
      <c r="D43" s="41">
        <v>606</v>
      </c>
      <c r="E43" s="41" t="s">
        <v>99</v>
      </c>
      <c r="F43" s="83"/>
      <c r="G43" s="41"/>
    </row>
    <row r="44" spans="2:7" ht="12.75">
      <c r="B44" s="41" t="s">
        <v>159</v>
      </c>
      <c r="C44" s="41" t="s">
        <v>144</v>
      </c>
      <c r="D44" s="41">
        <v>10550</v>
      </c>
      <c r="E44" s="41" t="s">
        <v>99</v>
      </c>
      <c r="F44" s="83"/>
      <c r="G44" s="41"/>
    </row>
    <row r="45" spans="2:7" ht="12.75">
      <c r="B45" s="188" t="s">
        <v>304</v>
      </c>
      <c r="C45" s="188"/>
      <c r="D45" s="188">
        <v>10550</v>
      </c>
      <c r="E45" s="41"/>
      <c r="F45" s="41"/>
      <c r="G45" s="41"/>
    </row>
    <row r="46" spans="2:7" ht="12.75">
      <c r="B46" s="41"/>
      <c r="C46" s="41"/>
      <c r="D46" s="41"/>
      <c r="E46" s="41"/>
      <c r="F46" s="41"/>
      <c r="G46" s="41"/>
    </row>
    <row r="47" spans="2:7" ht="12.75">
      <c r="B47" s="41"/>
      <c r="C47" s="41"/>
      <c r="D47" s="41"/>
      <c r="E47" s="41"/>
      <c r="F47" s="41"/>
      <c r="G47" s="41"/>
    </row>
    <row r="48" spans="2:7" ht="12.75">
      <c r="B48" s="41"/>
      <c r="C48" s="41"/>
      <c r="D48" s="41"/>
      <c r="E48" s="41"/>
      <c r="F48" s="41"/>
      <c r="G48" s="41"/>
    </row>
    <row r="49" spans="2:7" ht="12.75">
      <c r="B49" s="41"/>
      <c r="C49" s="41"/>
      <c r="D49" s="41"/>
      <c r="E49" s="41"/>
      <c r="F49" s="41"/>
      <c r="G49" s="41"/>
    </row>
    <row r="50" spans="2:7" ht="12.75">
      <c r="B50" s="41"/>
      <c r="C50" s="41"/>
      <c r="D50" s="41"/>
      <c r="E50" s="41"/>
      <c r="F50" s="41"/>
      <c r="G50" s="41"/>
    </row>
    <row r="51" spans="2:7" ht="12.75">
      <c r="B51" s="41"/>
      <c r="C51" s="41"/>
      <c r="D51" s="41"/>
      <c r="E51" s="41"/>
      <c r="F51" s="41"/>
      <c r="G51" s="41"/>
    </row>
  </sheetData>
  <printOptions/>
  <pageMargins left="0.75" right="0.75" top="1" bottom="1" header="0.5" footer="0.5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cp:lastPrinted>2006-05-19T07:34:11Z</cp:lastPrinted>
  <dcterms:created xsi:type="dcterms:W3CDTF">2005-04-30T08:59:53Z</dcterms:created>
  <dcterms:modified xsi:type="dcterms:W3CDTF">2006-05-19T08:07:04Z</dcterms:modified>
  <cp:category/>
  <cp:version/>
  <cp:contentType/>
  <cp:contentStatus/>
</cp:coreProperties>
</file>