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9200" windowHeight="12030" activeTab="0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'Tighteners'!$A$1:$AP$77</definedName>
    <definedName name="Z_1E92D746_8DA4_46FE_A015_5B53E5097C4F_.wvu.PrintArea" localSheetId="1" hidden="1">'Tighteners'!$A$1:$AP$77</definedName>
    <definedName name="Z_63DF7B8E_55FC_4540_9521_9B1B7D3BF258_.wvu.PrintArea" localSheetId="0" hidden="1">'BLM chambers '!$A$1:$AM$50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C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C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L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AC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C61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AC6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AC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checked?
</t>
        </r>
      </text>
    </comment>
  </commentList>
</comments>
</file>

<file path=xl/sharedStrings.xml><?xml version="1.0" encoding="utf-8"?>
<sst xmlns="http://schemas.openxmlformats.org/spreadsheetml/2006/main" count="714" uniqueCount="387">
  <si>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</si>
  <si>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</si>
  <si>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</si>
  <si>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</si>
  <si>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</si>
  <si>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</si>
  <si>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</si>
  <si>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</si>
  <si>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</si>
  <si>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</si>
  <si>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</si>
  <si>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</si>
  <si>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</si>
  <si>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</si>
  <si>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</si>
  <si>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</si>
  <si>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</si>
  <si>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</si>
  <si>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</si>
  <si>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</si>
  <si>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</si>
  <si>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</si>
  <si>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</si>
  <si>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</si>
  <si>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</si>
  <si>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</si>
  <si>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</si>
  <si>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</si>
  <si>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</si>
  <si>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</si>
  <si>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</si>
  <si>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</si>
  <si>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</si>
  <si>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</si>
  <si>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</si>
  <si>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</si>
  <si>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</si>
  <si>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</si>
  <si>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</si>
  <si>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</si>
  <si>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</si>
  <si>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</si>
  <si>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</si>
  <si>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</si>
  <si>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</si>
  <si>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</si>
  <si>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</si>
  <si>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</si>
  <si>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</si>
  <si>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</si>
  <si>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</si>
  <si>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</si>
  <si>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</si>
  <si>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</si>
  <si>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</si>
  <si>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</si>
  <si>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</si>
  <si>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</si>
  <si>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</si>
  <si>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</si>
  <si>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</si>
  <si>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</si>
  <si>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</si>
  <si>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</si>
  <si>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</si>
  <si>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</si>
  <si>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</si>
  <si>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</si>
  <si>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</si>
  <si>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</si>
  <si>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</si>
  <si>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</si>
  <si>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</si>
  <si>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</si>
  <si>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</si>
  <si>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</si>
  <si>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</si>
  <si>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</si>
  <si>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</si>
  <si>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</si>
  <si>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</si>
  <si>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</si>
  <si>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</si>
  <si>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</si>
  <si>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</si>
  <si>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</si>
  <si>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</si>
  <si>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</si>
  <si>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</si>
  <si>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</si>
  <si>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</si>
  <si>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</si>
  <si>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</si>
  <si>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</si>
  <si>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</si>
  <si>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</si>
  <si>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</si>
  <si>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</si>
  <si>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</si>
  <si>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</si>
  <si>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</si>
  <si>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</si>
  <si>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</si>
  <si>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</si>
  <si>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</si>
  <si>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</si>
  <si>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</si>
  <si>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</si>
  <si>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</si>
  <si>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</si>
  <si>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</si>
  <si>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</si>
  <si>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</si>
  <si>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</si>
  <si>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</si>
  <si>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</si>
  <si>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</si>
  <si>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to be shippied Protvino06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</si>
  <si>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</si>
  <si>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</si>
  <si>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</si>
  <si>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</si>
  <si>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</si>
  <si>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</si>
  <si>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</si>
  <si>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</si>
  <si>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</si>
  <si>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</si>
  <si>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</si>
  <si>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</si>
  <si>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</si>
  <si>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</si>
  <si>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</si>
  <si>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</si>
  <si>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</si>
  <si>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</si>
  <si>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</si>
  <si>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</si>
  <si>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</si>
  <si>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</si>
  <si>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</si>
  <si>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</si>
  <si>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</si>
  <si>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</si>
  <si>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</si>
  <si>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</si>
  <si>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</si>
  <si>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</si>
  <si>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</si>
  <si>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</si>
  <si>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</si>
  <si>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</si>
  <si>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</si>
  <si>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</si>
  <si>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</si>
  <si>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</si>
  <si>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</si>
  <si>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</si>
  <si>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</si>
  <si>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</si>
  <si>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</si>
  <si>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</si>
  <si>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</si>
  <si>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</si>
  <si>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</si>
  <si>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</si>
  <si>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</si>
  <si>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</si>
  <si>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</si>
  <si>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</si>
  <si>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</si>
  <si>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</si>
  <si>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</si>
  <si>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</si>
  <si>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</si>
  <si>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</si>
  <si>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</si>
  <si>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</si>
  <si>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</si>
  <si>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</si>
  <si>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</si>
  <si>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</si>
  <si>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</si>
  <si>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</si>
  <si>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</si>
  <si>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</si>
  <si>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</si>
  <si>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</si>
  <si>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</si>
  <si>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</si>
  <si>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</si>
  <si>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</si>
  <si>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</si>
  <si>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</si>
  <si>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</si>
  <si>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</si>
  <si>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</si>
  <si>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</si>
  <si>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</si>
  <si>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</si>
  <si>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</si>
  <si>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</si>
  <si>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</si>
  <si>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</si>
  <si>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</si>
  <si>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</si>
  <si>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</si>
  <si>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</si>
  <si>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</si>
  <si>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</si>
  <si>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</si>
  <si>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</si>
  <si>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</si>
  <si>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</si>
  <si>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</si>
  <si>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</si>
  <si>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</si>
  <si>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</si>
  <si>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</si>
  <si>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</si>
  <si>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</si>
  <si>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</si>
  <si>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</si>
  <si>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</si>
  <si>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</si>
  <si>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</si>
  <si>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</si>
  <si>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</si>
  <si>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</si>
  <si>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</si>
  <si>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</si>
  <si>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</si>
  <si>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</si>
  <si>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</si>
  <si>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</si>
  <si>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</si>
  <si>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</si>
  <si>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</si>
  <si>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</si>
  <si>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</si>
  <si>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</si>
  <si>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</si>
  <si>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</si>
  <si>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</si>
  <si>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</si>
  <si>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</si>
  <si>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</si>
  <si>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</si>
  <si>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</si>
  <si>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</si>
  <si>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</si>
  <si>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</si>
  <si>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</si>
  <si>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</si>
  <si>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</si>
  <si>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</si>
  <si>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</si>
  <si>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</si>
  <si>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</si>
  <si>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</si>
  <si>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</si>
  <si>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</si>
  <si>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</si>
  <si>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</si>
  <si>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</si>
  <si>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</si>
  <si>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</si>
  <si>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</si>
  <si>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</si>
  <si>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</si>
  <si>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</si>
  <si>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</si>
  <si>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</si>
  <si>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>650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</si>
  <si>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</si>
  <si>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</si>
  <si>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</si>
  <si>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</si>
  <si>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</si>
  <si>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</si>
  <si>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</si>
  <si>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</si>
  <si>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</si>
  <si>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</si>
  <si>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</si>
  <si>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</si>
  <si>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</si>
  <si>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</si>
  <si>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</si>
  <si>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June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</si>
  <si>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</si>
  <si>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</si>
  <si>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</si>
  <si>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</si>
  <si>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</si>
  <si>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</si>
  <si>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</si>
  <si>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</si>
  <si>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</si>
  <si>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</si>
  <si>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</si>
  <si>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</si>
  <si>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</si>
  <si>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</si>
  <si>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</si>
  <si>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</si>
  <si>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</si>
  <si>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</si>
  <si>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</si>
  <si>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</si>
  <si>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</si>
  <si>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</si>
  <si>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</si>
  <si>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</si>
  <si>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</si>
  <si>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</si>
  <si>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</si>
  <si>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</si>
  <si>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</si>
  <si>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</si>
  <si>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</si>
  <si>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</si>
  <si>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</si>
  <si>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</si>
  <si>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</si>
  <si>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</si>
  <si>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</si>
  <si>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</si>
  <si>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</si>
  <si>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</si>
  <si>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</si>
  <si>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</si>
  <si>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</si>
  <si>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</si>
  <si>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</si>
  <si>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</si>
  <si>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</si>
  <si>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</si>
  <si>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</si>
  <si>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</si>
  <si>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</si>
  <si>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</si>
  <si>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</si>
  <si>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</si>
  <si>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</si>
  <si>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</si>
  <si>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</si>
  <si>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</si>
  <si>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</si>
  <si>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</si>
  <si>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</si>
  <si>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</si>
  <si>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</si>
  <si>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</si>
  <si>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</si>
  <si>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</si>
  <si>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</si>
  <si>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Mishas counting in Protvino</t>
  </si>
  <si>
    <t>shipped to Protvino plus LZ per IC, slavas num.</t>
  </si>
  <si>
    <t>Mishas counting plus LZ and LS</t>
  </si>
  <si>
    <t>Slavas still to buy</t>
  </si>
  <si>
    <t>shipped to Protvino per IC, slavas num.</t>
  </si>
  <si>
    <t>check!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</si>
  <si>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</si>
  <si>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</si>
  <si>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</si>
  <si>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</si>
  <si>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</si>
  <si>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</si>
  <si>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</si>
  <si>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Exist in LZ  for next Shipping</t>
  </si>
  <si>
    <t>200</t>
  </si>
  <si>
    <t xml:space="preserve">  </t>
  </si>
  <si>
    <t>in LZ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</si>
  <si>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</si>
  <si>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</si>
  <si>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</si>
  <si>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</si>
  <si>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</si>
  <si>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</si>
  <si>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</si>
  <si>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</si>
  <si>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</si>
  <si>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</si>
  <si>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Mishas counting in Protvino (up to sh 6)</t>
  </si>
  <si>
    <t>shipment 7</t>
  </si>
  <si>
    <t>shipment 8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</si>
</sst>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833"/>
  <sheetViews>
    <sheetView tabSelected="1" zoomScale="80" zoomScaleNormal="80" workbookViewId="0" topLeftCell="A1">
      <pane xSplit="1" topLeftCell="S1" activePane="topRight" state="frozen"/>
      <selection pane="topLeft" activeCell="A1" sqref="A1"/>
      <selection pane="topRight" activeCell="AE1" sqref="AE1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0.7109375" style="0" customWidth="1"/>
    <col min="27" max="27" width="10.8515625" style="0" customWidth="1"/>
    <col min="28" max="29" width="9.28125" style="0" customWidth="1"/>
    <col min="30" max="31" width="11.421875" style="0" customWidth="1"/>
    <col min="32" max="32" width="11.57421875" style="0" customWidth="1"/>
    <col min="33" max="33" width="9.28125" style="0" customWidth="1"/>
    <col min="34" max="35" width="13.57421875" style="0" customWidth="1"/>
    <col min="36" max="36" width="9.421875" style="0" customWidth="1"/>
    <col min="37" max="37" width="11.421875" style="0" customWidth="1"/>
  </cols>
  <sheetData>
    <row r="1" spans="1:36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339</v>
      </c>
      <c r="K1" s="154" t="s">
        <v>334</v>
      </c>
      <c r="L1" s="189" t="s">
        <v>4</v>
      </c>
      <c r="M1" s="33" t="s">
        <v>29</v>
      </c>
      <c r="N1" s="38" t="s">
        <v>123</v>
      </c>
      <c r="O1" s="187" t="s">
        <v>335</v>
      </c>
      <c r="P1" s="33" t="s">
        <v>30</v>
      </c>
      <c r="Q1" s="156" t="s">
        <v>336</v>
      </c>
      <c r="R1" s="33" t="s">
        <v>226</v>
      </c>
      <c r="S1" s="40" t="s">
        <v>16</v>
      </c>
      <c r="T1" s="40" t="s">
        <v>28</v>
      </c>
      <c r="U1" s="39" t="s">
        <v>119</v>
      </c>
      <c r="V1" s="156" t="s">
        <v>227</v>
      </c>
      <c r="W1" s="156" t="s">
        <v>163</v>
      </c>
      <c r="X1" s="165" t="s">
        <v>118</v>
      </c>
      <c r="Y1" s="165" t="s">
        <v>246</v>
      </c>
      <c r="Z1" s="165" t="s">
        <v>384</v>
      </c>
      <c r="AA1" s="216" t="s">
        <v>359</v>
      </c>
      <c r="AB1" s="166" t="s">
        <v>117</v>
      </c>
      <c r="AC1" s="217" t="s">
        <v>366</v>
      </c>
      <c r="AD1" s="229" t="s">
        <v>385</v>
      </c>
      <c r="AE1" s="229" t="s">
        <v>386</v>
      </c>
      <c r="AF1" s="166" t="s">
        <v>360</v>
      </c>
      <c r="AG1" s="166" t="s">
        <v>262</v>
      </c>
      <c r="AH1" s="165" t="s">
        <v>358</v>
      </c>
      <c r="AI1" s="209" t="s">
        <v>342</v>
      </c>
      <c r="AJ1" s="209" t="s">
        <v>356</v>
      </c>
    </row>
    <row r="2" spans="1:36" ht="12.75">
      <c r="A2" s="41" t="s">
        <v>349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365</v>
      </c>
      <c r="AA2" s="52"/>
      <c r="AB2" s="53"/>
      <c r="AC2" s="220" t="s">
        <v>364</v>
      </c>
      <c r="AD2" s="230"/>
      <c r="AE2" s="230"/>
      <c r="AF2" s="53" t="s">
        <v>41</v>
      </c>
      <c r="AG2" s="220" t="s">
        <v>364</v>
      </c>
      <c r="AH2" s="88"/>
      <c r="AI2" s="88"/>
      <c r="AJ2" s="88"/>
    </row>
    <row r="3" spans="1:36" ht="12.75">
      <c r="A3" s="170" t="s">
        <v>327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367</v>
      </c>
      <c r="AH3" s="52"/>
      <c r="AI3" s="52"/>
      <c r="AJ3" s="52"/>
    </row>
    <row r="4" spans="1:36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274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155"/>
      <c r="AJ4" s="155"/>
    </row>
    <row r="5" spans="1:36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73"/>
      <c r="AJ5" s="73"/>
    </row>
    <row r="6" spans="1:36" ht="12.75">
      <c r="A6" s="74" t="s">
        <v>145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312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164</v>
      </c>
      <c r="X6" s="162">
        <v>1394</v>
      </c>
      <c r="Y6" s="162">
        <f>W6+X6</f>
        <v>3773</v>
      </c>
      <c r="Z6" s="162">
        <v>3773</v>
      </c>
      <c r="AA6" s="162">
        <f>Z6+AE6+AG6</f>
        <v>3781</v>
      </c>
      <c r="AB6" s="147">
        <f>Y6-K6</f>
        <v>-532</v>
      </c>
      <c r="AC6" s="91">
        <v>0</v>
      </c>
      <c r="AD6" s="91"/>
      <c r="AE6" s="91"/>
      <c r="AF6" s="147">
        <f>AC6+AB6</f>
        <v>-532</v>
      </c>
      <c r="AG6" s="202">
        <f>7+1</f>
        <v>8</v>
      </c>
      <c r="AH6" s="173">
        <f>Y6/D6+AG6</f>
        <v>3781</v>
      </c>
      <c r="AI6" s="88">
        <f>J6-(AA6*D6)</f>
        <v>524</v>
      </c>
      <c r="AJ6" s="88"/>
    </row>
    <row r="7" spans="1:39" s="15" customFormat="1" ht="12.75">
      <c r="A7" s="99" t="s">
        <v>146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1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2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91"/>
      <c r="AE7" s="91"/>
      <c r="AF7" s="91"/>
      <c r="AG7" s="202">
        <f>208+1+1</f>
        <v>210</v>
      </c>
      <c r="AH7" s="173">
        <f>Y7/D7+AG7</f>
        <v>210</v>
      </c>
      <c r="AI7" s="88">
        <f aca="true" t="shared" si="3" ref="AI7:AI18">J7-(AA7*D7)</f>
        <v>385</v>
      </c>
      <c r="AJ7" s="88"/>
      <c r="AK7"/>
      <c r="AL7"/>
      <c r="AM7"/>
    </row>
    <row r="8" spans="1:36" ht="12.75">
      <c r="A8" s="81" t="s">
        <v>46</v>
      </c>
      <c r="B8" s="42" t="s">
        <v>147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1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2"/>
        <v>-195</v>
      </c>
      <c r="P8" s="96">
        <v>4271</v>
      </c>
      <c r="Q8" s="89" t="s">
        <v>318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165</v>
      </c>
      <c r="X8" s="162">
        <v>1500</v>
      </c>
      <c r="Y8" s="162">
        <f>W8+X8</f>
        <v>3818</v>
      </c>
      <c r="Z8" s="162">
        <v>3818</v>
      </c>
      <c r="AA8" s="162">
        <f>Z8+AC8+AG8</f>
        <v>4029</v>
      </c>
      <c r="AB8" s="147">
        <f>Y8-K8</f>
        <v>-487</v>
      </c>
      <c r="AC8" s="91">
        <v>0</v>
      </c>
      <c r="AD8" s="91"/>
      <c r="AE8" s="91"/>
      <c r="AF8" s="147">
        <f>AC8+AB8</f>
        <v>-487</v>
      </c>
      <c r="AG8" s="202">
        <f>207+3+1</f>
        <v>211</v>
      </c>
      <c r="AH8" s="173">
        <f>Y8/D8+AG8</f>
        <v>4029</v>
      </c>
      <c r="AI8" s="173">
        <f t="shared" si="3"/>
        <v>661</v>
      </c>
      <c r="AJ8" s="173" t="s">
        <v>347</v>
      </c>
    </row>
    <row r="9" spans="1:36" ht="12.75">
      <c r="A9" s="74" t="s">
        <v>148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1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2"/>
        <v>-1500</v>
      </c>
      <c r="P9" s="96">
        <f>Y9+576+AC9</f>
        <v>7696</v>
      </c>
      <c r="Q9" s="51" t="s">
        <v>315</v>
      </c>
      <c r="R9" s="171">
        <f t="shared" si="0"/>
        <v>-914</v>
      </c>
      <c r="S9" s="50"/>
      <c r="T9" s="50" t="s">
        <v>24</v>
      </c>
      <c r="U9" s="93"/>
      <c r="V9" s="157" t="s">
        <v>229</v>
      </c>
      <c r="W9" s="162">
        <f>2029+898+480</f>
        <v>3407</v>
      </c>
      <c r="X9" s="162">
        <v>0</v>
      </c>
      <c r="Y9" s="162">
        <f>V9+W9+X9+1909</f>
        <v>5326</v>
      </c>
      <c r="Z9" s="162">
        <v>2019</v>
      </c>
      <c r="AA9" s="162">
        <f>Z9+AC9+AG9</f>
        <v>4710</v>
      </c>
      <c r="AB9" s="147">
        <f>Y9-K9</f>
        <v>-3284</v>
      </c>
      <c r="AC9" s="91">
        <f>1389+405</f>
        <v>1794</v>
      </c>
      <c r="AD9" s="91"/>
      <c r="AE9" s="91"/>
      <c r="AF9" s="147">
        <f>AC9+AB9</f>
        <v>-1490</v>
      </c>
      <c r="AG9" s="91">
        <f>AC9/D9</f>
        <v>897</v>
      </c>
      <c r="AH9" s="173">
        <f>Y9/D9+AG9</f>
        <v>3560</v>
      </c>
      <c r="AI9" s="173">
        <f t="shared" si="3"/>
        <v>-810</v>
      </c>
      <c r="AJ9" s="173" t="s">
        <v>348</v>
      </c>
    </row>
    <row r="10" spans="1:39" s="15" customFormat="1" ht="12.75">
      <c r="A10" s="99" t="s">
        <v>149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2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aca="true" t="shared" si="4" ref="AH10:AH18">Y10/D10+AG10</f>
        <v>0</v>
      </c>
      <c r="AI10" s="88"/>
      <c r="AJ10" s="88"/>
      <c r="AK10"/>
      <c r="AL10"/>
      <c r="AM10"/>
    </row>
    <row r="11" spans="1:36" ht="12.75">
      <c r="A11" s="81" t="s">
        <v>150</v>
      </c>
      <c r="B11" s="59" t="s">
        <v>57</v>
      </c>
      <c r="C11" s="59" t="s">
        <v>241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1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2"/>
        <v>-54585</v>
      </c>
      <c r="P11" s="77">
        <f>Y11</f>
        <v>207126</v>
      </c>
      <c r="Q11" s="89" t="s">
        <v>303</v>
      </c>
      <c r="R11" s="171">
        <f t="shared" si="0"/>
        <v>-55479</v>
      </c>
      <c r="S11" s="50"/>
      <c r="T11" s="50" t="s">
        <v>24</v>
      </c>
      <c r="U11" s="49" t="s">
        <v>121</v>
      </c>
      <c r="V11" s="157" t="s">
        <v>233</v>
      </c>
      <c r="W11" s="157" t="s">
        <v>303</v>
      </c>
      <c r="X11" s="163">
        <v>0</v>
      </c>
      <c r="Y11" s="162">
        <f>V11+W11+X11</f>
        <v>207126</v>
      </c>
      <c r="Z11" s="162">
        <v>207000</v>
      </c>
      <c r="AA11" s="162">
        <f>Z11+AC11+AG11</f>
        <v>207038.73770491802</v>
      </c>
      <c r="AB11" s="147">
        <f>Y11-K11</f>
        <v>-55479</v>
      </c>
      <c r="AC11" s="91">
        <v>0</v>
      </c>
      <c r="AD11" s="91"/>
      <c r="AE11" s="91"/>
      <c r="AF11" s="147">
        <f>AC11+AB11</f>
        <v>-55479</v>
      </c>
      <c r="AG11" s="202">
        <f>2363/D11</f>
        <v>38.73770491803279</v>
      </c>
      <c r="AH11" s="173">
        <f t="shared" si="4"/>
        <v>3434.245901639344</v>
      </c>
      <c r="AI11" s="173">
        <f t="shared" si="3"/>
        <v>-12366758</v>
      </c>
      <c r="AJ11" s="173"/>
    </row>
    <row r="12" spans="1:39" s="15" customFormat="1" ht="12.75">
      <c r="A12" s="82" t="s">
        <v>340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1"/>
        <v>770</v>
      </c>
      <c r="K12" s="87"/>
      <c r="L12" s="87">
        <v>0</v>
      </c>
      <c r="M12" s="87"/>
      <c r="N12" s="130"/>
      <c r="O12" s="130">
        <f t="shared" si="2"/>
        <v>0</v>
      </c>
      <c r="P12" s="87"/>
      <c r="Q12" s="89"/>
      <c r="R12" s="130">
        <f t="shared" si="0"/>
        <v>-770</v>
      </c>
      <c r="S12" s="90"/>
      <c r="T12" s="90"/>
      <c r="U12" s="89" t="s">
        <v>121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4"/>
        <v>0</v>
      </c>
      <c r="AI12" s="88">
        <f t="shared" si="3"/>
        <v>770</v>
      </c>
      <c r="AJ12" s="88"/>
      <c r="AK12"/>
      <c r="AL12"/>
      <c r="AM12"/>
    </row>
    <row r="13" spans="1:36" ht="12.75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1"/>
        <v>791280</v>
      </c>
      <c r="K13" s="152">
        <f>K4*D13</f>
        <v>787815</v>
      </c>
      <c r="L13" s="77">
        <v>698300</v>
      </c>
      <c r="M13" s="47" t="s">
        <v>92</v>
      </c>
      <c r="N13" s="78">
        <f>-I13+L13-I14+L14</f>
        <v>-92980</v>
      </c>
      <c r="O13" s="130">
        <f t="shared" si="2"/>
        <v>-89515</v>
      </c>
      <c r="P13" s="96">
        <f>Y13+1000+48075+AC13</f>
        <v>456560</v>
      </c>
      <c r="Q13" s="51" t="s">
        <v>309</v>
      </c>
      <c r="R13" s="171">
        <f t="shared" si="0"/>
        <v>-334720</v>
      </c>
      <c r="S13" s="140" t="s">
        <v>31</v>
      </c>
      <c r="T13" s="50" t="s">
        <v>125</v>
      </c>
      <c r="U13" s="89" t="s">
        <v>41</v>
      </c>
      <c r="V13" s="157" t="s">
        <v>234</v>
      </c>
      <c r="W13" s="157" t="s">
        <v>368</v>
      </c>
      <c r="X13" s="162">
        <v>1830</v>
      </c>
      <c r="Y13" s="162">
        <f>V13+W13+X13</f>
        <v>357575</v>
      </c>
      <c r="Z13" s="162">
        <v>10604</v>
      </c>
      <c r="AA13" s="162">
        <f>Z13+AC13+AG13</f>
        <v>60786.73224043716</v>
      </c>
      <c r="AB13" s="147">
        <f>Y13-K13</f>
        <v>-430240</v>
      </c>
      <c r="AC13" s="91">
        <v>49910</v>
      </c>
      <c r="AD13" s="91"/>
      <c r="AE13" s="91"/>
      <c r="AF13" s="147">
        <f>AC13+AB13</f>
        <v>-380330</v>
      </c>
      <c r="AG13" s="91">
        <f>AC13/D13</f>
        <v>272.73224043715845</v>
      </c>
      <c r="AH13" s="173">
        <f t="shared" si="4"/>
        <v>2226.6939890710382</v>
      </c>
      <c r="AI13" s="173">
        <f t="shared" si="3"/>
        <v>-10332692</v>
      </c>
      <c r="AJ13" s="173" t="s">
        <v>348</v>
      </c>
    </row>
    <row r="14" spans="1:39" s="15" customFormat="1" ht="12.75">
      <c r="A14" s="99" t="s">
        <v>151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2"/>
        <v>0</v>
      </c>
      <c r="P14" s="88"/>
      <c r="Q14" s="89"/>
      <c r="R14" s="130" t="s">
        <v>231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4"/>
        <v>0</v>
      </c>
      <c r="AI14" s="88">
        <f t="shared" si="3"/>
        <v>0</v>
      </c>
      <c r="AJ14" s="88"/>
      <c r="AK14"/>
      <c r="AL14"/>
      <c r="AM14"/>
    </row>
    <row r="15" spans="1:39" s="15" customFormat="1" ht="12.75">
      <c r="A15" s="99" t="s">
        <v>152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231</v>
      </c>
      <c r="H15" s="88" t="s">
        <v>231</v>
      </c>
      <c r="I15" s="87" t="e">
        <f>D15*(E15+F15+G15+H15)</f>
        <v>#VALUE!</v>
      </c>
      <c r="J15" s="87" t="e">
        <f t="shared" si="1"/>
        <v>#VALUE!</v>
      </c>
      <c r="K15" s="87"/>
      <c r="L15" s="100">
        <v>930</v>
      </c>
      <c r="M15" s="88" t="s">
        <v>92</v>
      </c>
      <c r="N15" s="130" t="e">
        <f>-I15+L15</f>
        <v>#VALUE!</v>
      </c>
      <c r="O15" s="130">
        <f t="shared" si="2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4"/>
        <v>0</v>
      </c>
      <c r="AI15" s="88"/>
      <c r="AJ15" s="88"/>
      <c r="AK15"/>
      <c r="AL15"/>
      <c r="AM15"/>
    </row>
    <row r="16" spans="1:36" ht="12.75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1"/>
        <v>25830</v>
      </c>
      <c r="K16" s="152">
        <f>K4*D16</f>
        <v>25830</v>
      </c>
      <c r="L16" s="98">
        <v>22800</v>
      </c>
      <c r="M16" s="47" t="s">
        <v>92</v>
      </c>
      <c r="N16" s="78">
        <f>-I16+L16</f>
        <v>-3030</v>
      </c>
      <c r="O16" s="130">
        <f t="shared" si="2"/>
        <v>-3030</v>
      </c>
      <c r="P16" s="96">
        <f>Y16+AC16</f>
        <v>10625</v>
      </c>
      <c r="Q16" s="51" t="s">
        <v>310</v>
      </c>
      <c r="R16" s="171">
        <f t="shared" si="0"/>
        <v>-15205</v>
      </c>
      <c r="S16" s="140" t="s">
        <v>31</v>
      </c>
      <c r="T16" s="50" t="s">
        <v>125</v>
      </c>
      <c r="U16" s="89" t="s">
        <v>41</v>
      </c>
      <c r="V16" s="157" t="s">
        <v>235</v>
      </c>
      <c r="W16" s="157" t="s">
        <v>167</v>
      </c>
      <c r="X16" s="162">
        <v>60</v>
      </c>
      <c r="Y16" s="162">
        <f>V16+W16+X16</f>
        <v>10625</v>
      </c>
      <c r="Z16" s="162">
        <v>10604</v>
      </c>
      <c r="AA16" s="162">
        <f>Z16+AC16+AG16</f>
        <v>10604</v>
      </c>
      <c r="AB16" s="147">
        <f>Y16-K16</f>
        <v>-15205</v>
      </c>
      <c r="AC16" s="91">
        <v>0</v>
      </c>
      <c r="AD16" s="91"/>
      <c r="AE16" s="91"/>
      <c r="AF16" s="147">
        <f>AC16+AB16</f>
        <v>-15205</v>
      </c>
      <c r="AG16" s="202"/>
      <c r="AH16" s="173">
        <f t="shared" si="4"/>
        <v>1770.8333333333333</v>
      </c>
      <c r="AI16" s="173">
        <f t="shared" si="3"/>
        <v>-37794</v>
      </c>
      <c r="AJ16" s="173" t="s">
        <v>348</v>
      </c>
    </row>
    <row r="17" spans="1:36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1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2"/>
        <v>-195</v>
      </c>
      <c r="P17" s="96">
        <f>Y17+AC17</f>
        <v>4432</v>
      </c>
      <c r="Q17" s="89" t="s">
        <v>306</v>
      </c>
      <c r="R17" s="196">
        <f t="shared" si="0"/>
        <v>-258</v>
      </c>
      <c r="S17" s="50"/>
      <c r="T17" s="50" t="s">
        <v>24</v>
      </c>
      <c r="U17" s="49" t="s">
        <v>121</v>
      </c>
      <c r="V17" s="157" t="s">
        <v>228</v>
      </c>
      <c r="W17" s="157" t="s">
        <v>168</v>
      </c>
      <c r="X17" s="162">
        <v>50</v>
      </c>
      <c r="Y17" s="162">
        <f>V17+W17+X17</f>
        <v>4432</v>
      </c>
      <c r="Z17" s="162">
        <v>4429</v>
      </c>
      <c r="AA17" s="162">
        <f>Z17+AC17+AG17</f>
        <v>4438</v>
      </c>
      <c r="AB17" s="147">
        <f>Y17-K17</f>
        <v>127</v>
      </c>
      <c r="AC17" s="147"/>
      <c r="AD17" s="147"/>
      <c r="AE17" s="147"/>
      <c r="AF17" s="147"/>
      <c r="AG17" s="202">
        <f>4+3+2</f>
        <v>9</v>
      </c>
      <c r="AH17" s="167">
        <f t="shared" si="4"/>
        <v>4441</v>
      </c>
      <c r="AI17" s="167">
        <f t="shared" si="3"/>
        <v>252</v>
      </c>
      <c r="AJ17" s="167"/>
    </row>
    <row r="18" spans="1:36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1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2"/>
        <v>-505</v>
      </c>
      <c r="P18" s="96">
        <f>Y18+AC18</f>
        <v>3592</v>
      </c>
      <c r="Q18" s="89" t="s">
        <v>307</v>
      </c>
      <c r="R18" s="196">
        <f t="shared" si="0"/>
        <v>-713</v>
      </c>
      <c r="S18" s="50"/>
      <c r="T18" s="50" t="s">
        <v>24</v>
      </c>
      <c r="U18" s="49" t="s">
        <v>124</v>
      </c>
      <c r="V18" s="157" t="s">
        <v>228</v>
      </c>
      <c r="W18" s="157" t="s">
        <v>169</v>
      </c>
      <c r="X18" s="162">
        <v>10</v>
      </c>
      <c r="Y18" s="162">
        <f>V18+W18+X18</f>
        <v>3592</v>
      </c>
      <c r="Z18" s="162">
        <v>3590</v>
      </c>
      <c r="AA18" s="162">
        <f>Z18+AC18+AG18</f>
        <v>3590</v>
      </c>
      <c r="AB18" s="147">
        <f>Y18-K18</f>
        <v>-713</v>
      </c>
      <c r="AC18" s="91">
        <v>0</v>
      </c>
      <c r="AD18" s="91"/>
      <c r="AE18" s="91"/>
      <c r="AF18" s="147">
        <f>AC18+AB18</f>
        <v>-713</v>
      </c>
      <c r="AG18" s="202"/>
      <c r="AH18" s="173">
        <f t="shared" si="4"/>
        <v>3592</v>
      </c>
      <c r="AI18" s="173">
        <f t="shared" si="3"/>
        <v>715</v>
      </c>
      <c r="AJ18" s="173"/>
    </row>
    <row r="19" spans="1:36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2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104">
        <f>J19-(AH19*D19)</f>
        <v>0</v>
      </c>
      <c r="AJ19" s="104"/>
    </row>
    <row r="20" spans="1:36" ht="12.75">
      <c r="A20" s="74" t="s">
        <v>78</v>
      </c>
      <c r="B20" s="43" t="s">
        <v>76</v>
      </c>
      <c r="C20" s="83"/>
      <c r="D20" s="44">
        <v>2</v>
      </c>
      <c r="E20" s="45">
        <f>$E$4</f>
        <v>4100</v>
      </c>
      <c r="F20" s="45">
        <v>410</v>
      </c>
      <c r="G20" s="86"/>
      <c r="H20" s="85"/>
      <c r="I20" s="46">
        <f>D20*(E20+F20+G20+H20)</f>
        <v>9020</v>
      </c>
      <c r="J20" s="152">
        <f>I20</f>
        <v>9020</v>
      </c>
      <c r="K20" s="152">
        <f>I20</f>
        <v>9020</v>
      </c>
      <c r="L20" s="77">
        <f>(3800*2)+100</f>
        <v>7700</v>
      </c>
      <c r="M20" s="47" t="s">
        <v>92</v>
      </c>
      <c r="N20" s="78">
        <f>-I20+L20</f>
        <v>-1320</v>
      </c>
      <c r="O20" s="130">
        <f t="shared" si="2"/>
        <v>-1320</v>
      </c>
      <c r="P20" s="197">
        <f>Y20+1018+1144+AC20</f>
        <v>6639</v>
      </c>
      <c r="Q20" s="89" t="s">
        <v>257</v>
      </c>
      <c r="R20" s="171" t="e">
        <f>-K20+#REF!*D20</f>
        <v>#REF!</v>
      </c>
      <c r="S20" s="90"/>
      <c r="T20" s="50" t="s">
        <v>24</v>
      </c>
      <c r="U20" s="105"/>
      <c r="V20" s="157" t="s">
        <v>237</v>
      </c>
      <c r="W20" s="162">
        <f>2720+1501+252</f>
        <v>4473</v>
      </c>
      <c r="X20" s="162">
        <v>0</v>
      </c>
      <c r="Y20" s="162">
        <f>V20+W20+X20</f>
        <v>4477</v>
      </c>
      <c r="Z20" s="163">
        <v>2503</v>
      </c>
      <c r="AA20" s="162">
        <f>Z20+AC20+AG20</f>
        <v>2503</v>
      </c>
      <c r="AB20" s="198">
        <f>Y20-K20</f>
        <v>-4543</v>
      </c>
      <c r="AC20" s="91">
        <v>0</v>
      </c>
      <c r="AD20" s="91"/>
      <c r="AE20" s="91"/>
      <c r="AF20" s="147">
        <f>AC20+AB20</f>
        <v>-4543</v>
      </c>
      <c r="AG20" s="199">
        <f>AC20/D20</f>
        <v>0</v>
      </c>
      <c r="AH20" s="179">
        <v>2611</v>
      </c>
      <c r="AI20" s="179">
        <f>J20-(AA20*D20)</f>
        <v>4014</v>
      </c>
      <c r="AJ20" s="179"/>
    </row>
    <row r="21" spans="1:36" ht="12.75">
      <c r="A21" s="74" t="s">
        <v>77</v>
      </c>
      <c r="B21" s="43" t="s">
        <v>76</v>
      </c>
      <c r="C21" s="54"/>
      <c r="D21" s="44">
        <v>4</v>
      </c>
      <c r="E21" s="45">
        <f>$E$4</f>
        <v>4100</v>
      </c>
      <c r="F21" s="45">
        <v>410</v>
      </c>
      <c r="G21" s="86"/>
      <c r="H21" s="85"/>
      <c r="I21" s="46">
        <f>D21*(E21+F21+G21+H21)</f>
        <v>18040</v>
      </c>
      <c r="J21" s="152">
        <f>I21</f>
        <v>18040</v>
      </c>
      <c r="K21" s="152">
        <f>I21</f>
        <v>18040</v>
      </c>
      <c r="L21" s="77">
        <f>(3800*4)+200</f>
        <v>15400</v>
      </c>
      <c r="M21" s="47" t="s">
        <v>92</v>
      </c>
      <c r="N21" s="78">
        <f>-I21+L21</f>
        <v>-2640</v>
      </c>
      <c r="O21" s="130">
        <f t="shared" si="2"/>
        <v>-2640</v>
      </c>
      <c r="P21" s="197">
        <f>Y21+2995+2000+AC21</f>
        <v>17039</v>
      </c>
      <c r="Q21" s="89" t="s">
        <v>256</v>
      </c>
      <c r="R21" s="171" t="e">
        <f>-K21+#REF!*D21</f>
        <v>#REF!</v>
      </c>
      <c r="S21" s="50"/>
      <c r="T21" s="50" t="s">
        <v>24</v>
      </c>
      <c r="U21" s="51"/>
      <c r="V21" s="157" t="s">
        <v>240</v>
      </c>
      <c r="W21" s="162">
        <f>230+3557+8245</f>
        <v>12032</v>
      </c>
      <c r="X21" s="162">
        <v>4</v>
      </c>
      <c r="Y21" s="162">
        <f>V21+W21+X21</f>
        <v>12044</v>
      </c>
      <c r="Z21" s="163">
        <v>5537</v>
      </c>
      <c r="AA21" s="162">
        <f>Z21+AC21+AG21</f>
        <v>5537</v>
      </c>
      <c r="AB21" s="198">
        <f>Y21-K21</f>
        <v>-5996</v>
      </c>
      <c r="AC21" s="91">
        <v>0</v>
      </c>
      <c r="AD21" s="91"/>
      <c r="AE21" s="91"/>
      <c r="AF21" s="147">
        <f>AC21+AB21</f>
        <v>-5996</v>
      </c>
      <c r="AG21" s="199">
        <f>AC21/D21</f>
        <v>0</v>
      </c>
      <c r="AH21" s="179">
        <v>3445</v>
      </c>
      <c r="AI21" s="179">
        <f>J21-(AA21*D21)</f>
        <v>-4108</v>
      </c>
      <c r="AJ21" s="179"/>
    </row>
    <row r="22" spans="1:36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2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104">
        <f>J22-(AH22*D22)</f>
        <v>0</v>
      </c>
      <c r="AJ22" s="104"/>
    </row>
    <row r="23" spans="1:36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2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52">
        <f>J23-(AH23*D23)</f>
        <v>0</v>
      </c>
      <c r="AJ23" s="52"/>
    </row>
    <row r="24" spans="1:36" ht="12.75">
      <c r="A24" s="81" t="s">
        <v>242</v>
      </c>
      <c r="B24" s="59"/>
      <c r="C24" s="59"/>
      <c r="D24" s="44"/>
      <c r="E24" s="45"/>
      <c r="F24" s="85"/>
      <c r="G24" s="86"/>
      <c r="H24" s="85"/>
      <c r="I24" s="46"/>
      <c r="J24" s="153" t="s">
        <v>231</v>
      </c>
      <c r="K24" s="153" t="s">
        <v>231</v>
      </c>
      <c r="L24" s="77"/>
      <c r="M24" s="47"/>
      <c r="N24" s="130"/>
      <c r="O24" s="130" t="e">
        <f t="shared" si="2"/>
        <v>#VALUE!</v>
      </c>
      <c r="P24" s="47"/>
      <c r="Q24" s="51"/>
      <c r="R24" s="79"/>
      <c r="S24" s="140"/>
      <c r="T24" s="50"/>
      <c r="U24" s="89"/>
      <c r="V24" s="89"/>
      <c r="W24" s="89" t="s">
        <v>245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52"/>
      <c r="AJ24" s="52"/>
    </row>
    <row r="25" spans="1:36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2"/>
        <v>20</v>
      </c>
      <c r="P25" s="47">
        <f>Y25+AC25</f>
        <v>347</v>
      </c>
      <c r="Q25" s="51"/>
      <c r="R25" s="79">
        <f t="shared" si="0"/>
        <v>-153</v>
      </c>
      <c r="S25" s="50"/>
      <c r="T25" s="50" t="s">
        <v>24</v>
      </c>
      <c r="U25" s="51"/>
      <c r="V25" s="157"/>
      <c r="W25" s="157" t="s">
        <v>369</v>
      </c>
      <c r="X25" s="88"/>
      <c r="Y25" s="162">
        <f>V25+W25+X25</f>
        <v>347</v>
      </c>
      <c r="Z25" s="162"/>
      <c r="AA25" s="162"/>
      <c r="AB25" s="198">
        <f>Y25-K25</f>
        <v>-133</v>
      </c>
      <c r="AC25" s="91"/>
      <c r="AD25" s="91"/>
      <c r="AE25" s="91"/>
      <c r="AF25" s="91"/>
      <c r="AG25" s="91">
        <v>0</v>
      </c>
      <c r="AH25" s="88">
        <f>Y25/D25+AG25</f>
        <v>347</v>
      </c>
      <c r="AI25" s="96">
        <f>J25-(AH25*D25)</f>
        <v>133</v>
      </c>
      <c r="AJ25" s="96"/>
    </row>
    <row r="26" spans="1:36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2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104">
        <f>J26-(AH26*D26)</f>
        <v>0</v>
      </c>
      <c r="AJ26" s="104"/>
    </row>
    <row r="27" spans="1:36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2"/>
        <v>-455</v>
      </c>
      <c r="P27" s="96">
        <f aca="true" t="shared" si="10" ref="P27:P32">Y27</f>
        <v>3784</v>
      </c>
      <c r="Q27" s="51" t="s">
        <v>170</v>
      </c>
      <c r="R27" s="196">
        <f t="shared" si="0"/>
        <v>-521</v>
      </c>
      <c r="S27" s="140" t="s">
        <v>31</v>
      </c>
      <c r="T27" s="50" t="s">
        <v>24</v>
      </c>
      <c r="U27" s="51" t="s">
        <v>121</v>
      </c>
      <c r="V27" s="157" t="s">
        <v>237</v>
      </c>
      <c r="W27" s="157" t="s">
        <v>170</v>
      </c>
      <c r="X27" s="162">
        <v>0</v>
      </c>
      <c r="Y27" s="162">
        <f aca="true" t="shared" si="11" ref="Y27:Y32">V27+W27+X27</f>
        <v>3784</v>
      </c>
      <c r="Z27" s="162">
        <v>3780</v>
      </c>
      <c r="AA27" s="162">
        <f aca="true" t="shared" si="12" ref="AA27:AA32">Z27+AC27+AG27</f>
        <v>3780</v>
      </c>
      <c r="AB27" s="147">
        <f aca="true" t="shared" si="13" ref="AB27:AB32">Y27-K27</f>
        <v>-521</v>
      </c>
      <c r="AC27" s="91"/>
      <c r="AD27" s="91"/>
      <c r="AE27" s="91"/>
      <c r="AF27" s="91"/>
      <c r="AG27" s="91">
        <f aca="true" t="shared" si="14" ref="AG27:AG32">AC27/D27</f>
        <v>0</v>
      </c>
      <c r="AH27" s="167">
        <f aca="true" t="shared" si="15" ref="AH27:AH32">Y27/D27</f>
        <v>3784</v>
      </c>
      <c r="AI27" s="167">
        <f aca="true" t="shared" si="16" ref="AI27:AI32">J27-(AA27*D27)</f>
        <v>525</v>
      </c>
      <c r="AJ27" s="167"/>
    </row>
    <row r="28" spans="1:36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2"/>
        <v>-390</v>
      </c>
      <c r="P28" s="96">
        <f>Y28+AC28</f>
        <v>11551</v>
      </c>
      <c r="Q28" s="89" t="s">
        <v>308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244</v>
      </c>
      <c r="W28" s="162">
        <f>982+9250+1200</f>
        <v>11432</v>
      </c>
      <c r="X28" s="162">
        <v>0</v>
      </c>
      <c r="Y28" s="162">
        <f t="shared" si="11"/>
        <v>11551</v>
      </c>
      <c r="Z28" s="162">
        <v>4563</v>
      </c>
      <c r="AA28" s="162">
        <f t="shared" si="12"/>
        <v>4597.5</v>
      </c>
      <c r="AB28" s="147">
        <f t="shared" si="13"/>
        <v>2941</v>
      </c>
      <c r="AC28" s="91"/>
      <c r="AD28" s="91"/>
      <c r="AE28" s="91"/>
      <c r="AF28" s="147">
        <f>AC28+AB28</f>
        <v>2941</v>
      </c>
      <c r="AG28" s="91">
        <f>69/D28</f>
        <v>34.5</v>
      </c>
      <c r="AH28" s="167">
        <f>Y28/D28+AG28</f>
        <v>5810</v>
      </c>
      <c r="AI28" s="167">
        <f t="shared" si="16"/>
        <v>-585</v>
      </c>
      <c r="AJ28" s="167"/>
    </row>
    <row r="29" spans="1:36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2"/>
        <v>-210</v>
      </c>
      <c r="P29" s="96">
        <f t="shared" si="10"/>
        <v>8305</v>
      </c>
      <c r="Q29" s="51" t="s">
        <v>171</v>
      </c>
      <c r="R29" s="196">
        <f t="shared" si="0"/>
        <v>-1075</v>
      </c>
      <c r="S29" s="140" t="s">
        <v>31</v>
      </c>
      <c r="T29" s="50" t="s">
        <v>24</v>
      </c>
      <c r="U29" s="51" t="s">
        <v>121</v>
      </c>
      <c r="V29" s="157" t="s">
        <v>238</v>
      </c>
      <c r="W29" s="157" t="s">
        <v>171</v>
      </c>
      <c r="X29" s="162">
        <v>0</v>
      </c>
      <c r="Y29" s="162">
        <f t="shared" si="11"/>
        <v>8305</v>
      </c>
      <c r="Z29" s="162">
        <v>8300</v>
      </c>
      <c r="AA29" s="162">
        <f t="shared" si="12"/>
        <v>8300</v>
      </c>
      <c r="AB29" s="147">
        <f t="shared" si="13"/>
        <v>-305</v>
      </c>
      <c r="AC29" s="91"/>
      <c r="AD29" s="91"/>
      <c r="AE29" s="91"/>
      <c r="AF29" s="91"/>
      <c r="AG29" s="91">
        <f t="shared" si="14"/>
        <v>0</v>
      </c>
      <c r="AH29" s="167">
        <f t="shared" si="15"/>
        <v>4152.5</v>
      </c>
      <c r="AI29" s="167">
        <f t="shared" si="16"/>
        <v>-7220</v>
      </c>
      <c r="AJ29" s="167"/>
    </row>
    <row r="30" spans="1:36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2"/>
        <v>-620</v>
      </c>
      <c r="P30" s="96">
        <f t="shared" si="10"/>
        <v>16406</v>
      </c>
      <c r="Q30" s="51" t="s">
        <v>172</v>
      </c>
      <c r="R30" s="196">
        <f t="shared" si="0"/>
        <v>-6734</v>
      </c>
      <c r="S30" s="140" t="s">
        <v>31</v>
      </c>
      <c r="T30" s="50" t="s">
        <v>24</v>
      </c>
      <c r="U30" s="51" t="s">
        <v>120</v>
      </c>
      <c r="V30" s="157" t="s">
        <v>239</v>
      </c>
      <c r="W30" s="157" t="s">
        <v>172</v>
      </c>
      <c r="X30" s="162">
        <v>0</v>
      </c>
      <c r="Y30" s="162">
        <f t="shared" si="11"/>
        <v>16406</v>
      </c>
      <c r="Z30" s="162">
        <v>16400</v>
      </c>
      <c r="AA30" s="162">
        <f t="shared" si="12"/>
        <v>16400</v>
      </c>
      <c r="AB30" s="147">
        <f t="shared" si="13"/>
        <v>-814</v>
      </c>
      <c r="AC30" s="91"/>
      <c r="AD30" s="91"/>
      <c r="AE30" s="91"/>
      <c r="AF30" s="91"/>
      <c r="AG30" s="91">
        <f t="shared" si="14"/>
        <v>0</v>
      </c>
      <c r="AH30" s="167">
        <f t="shared" si="15"/>
        <v>4101.5</v>
      </c>
      <c r="AI30" s="167">
        <f t="shared" si="16"/>
        <v>-42460</v>
      </c>
      <c r="AJ30" s="167"/>
    </row>
    <row r="31" spans="1:36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2"/>
        <v>-2490</v>
      </c>
      <c r="P31" s="96">
        <f t="shared" si="10"/>
        <v>73140</v>
      </c>
      <c r="Q31" s="51" t="s">
        <v>311</v>
      </c>
      <c r="R31" s="196">
        <f t="shared" si="0"/>
        <v>-11280</v>
      </c>
      <c r="S31" s="50"/>
      <c r="T31" s="50"/>
      <c r="U31" s="51" t="s">
        <v>121</v>
      </c>
      <c r="V31" s="157" t="s">
        <v>236</v>
      </c>
      <c r="W31" s="157" t="s">
        <v>173</v>
      </c>
      <c r="X31" s="162">
        <v>0</v>
      </c>
      <c r="Y31" s="162">
        <f t="shared" si="11"/>
        <v>73140</v>
      </c>
      <c r="Z31" s="162">
        <v>85500</v>
      </c>
      <c r="AA31" s="162">
        <f t="shared" si="12"/>
        <v>85500</v>
      </c>
      <c r="AB31" s="147">
        <f t="shared" si="13"/>
        <v>-4350</v>
      </c>
      <c r="AC31" s="91"/>
      <c r="AD31" s="91"/>
      <c r="AE31" s="91"/>
      <c r="AF31" s="91"/>
      <c r="AG31" s="91">
        <f t="shared" si="14"/>
        <v>0</v>
      </c>
      <c r="AH31" s="167">
        <f t="shared" si="15"/>
        <v>4063.3333333333335</v>
      </c>
      <c r="AI31" s="167">
        <f t="shared" si="16"/>
        <v>-1454580</v>
      </c>
      <c r="AJ31" s="167"/>
    </row>
    <row r="32" spans="1:97" s="142" customFormat="1" ht="12.75">
      <c r="A32" s="109" t="s">
        <v>37</v>
      </c>
      <c r="B32" s="108"/>
      <c r="C32" s="108" t="s">
        <v>126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230</v>
      </c>
      <c r="M32" s="47" t="s">
        <v>94</v>
      </c>
      <c r="N32" s="78">
        <f t="shared" si="9"/>
        <v>17460</v>
      </c>
      <c r="O32" s="130">
        <f t="shared" si="2"/>
        <v>19770</v>
      </c>
      <c r="P32" s="96">
        <f t="shared" si="10"/>
        <v>45640</v>
      </c>
      <c r="Q32" s="89" t="s">
        <v>230</v>
      </c>
      <c r="R32" s="196">
        <f t="shared" si="0"/>
        <v>17500</v>
      </c>
      <c r="S32" s="141"/>
      <c r="T32" s="141" t="s">
        <v>24</v>
      </c>
      <c r="U32" s="49" t="s">
        <v>122</v>
      </c>
      <c r="V32" s="157" t="s">
        <v>236</v>
      </c>
      <c r="W32" s="157" t="s">
        <v>230</v>
      </c>
      <c r="X32" s="162">
        <v>0</v>
      </c>
      <c r="Y32" s="162">
        <f t="shared" si="11"/>
        <v>45640</v>
      </c>
      <c r="Z32" s="162">
        <v>45600</v>
      </c>
      <c r="AA32" s="162">
        <f t="shared" si="12"/>
        <v>45600</v>
      </c>
      <c r="AB32" s="147">
        <f t="shared" si="13"/>
        <v>19810</v>
      </c>
      <c r="AC32" s="91"/>
      <c r="AD32" s="91"/>
      <c r="AE32" s="91"/>
      <c r="AF32" s="91"/>
      <c r="AG32" s="91">
        <f t="shared" si="14"/>
        <v>0</v>
      </c>
      <c r="AH32" s="179">
        <f t="shared" si="15"/>
        <v>7606.666666666667</v>
      </c>
      <c r="AI32" s="167">
        <f t="shared" si="16"/>
        <v>-245460</v>
      </c>
      <c r="AJ32" s="179"/>
      <c r="AK32"/>
      <c r="AL32"/>
      <c r="AM32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</row>
    <row r="33" spans="1:36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104">
        <f>J33-(AH33*D33)</f>
        <v>0</v>
      </c>
      <c r="AJ33" s="104"/>
    </row>
    <row r="34" spans="1:36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88">
        <f>J34-(AH34*D34)</f>
        <v>0</v>
      </c>
      <c r="AJ34" s="88"/>
    </row>
    <row r="35" spans="1:36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5">
        <f>J35-(AH35*D35)</f>
        <v>0</v>
      </c>
      <c r="AJ35" s="125"/>
    </row>
    <row r="36" spans="1:36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7" ref="F36:F51">$E36*5/100</f>
        <v>205</v>
      </c>
      <c r="G36" s="86">
        <f>$G$4</f>
        <v>350</v>
      </c>
      <c r="H36" s="88">
        <f aca="true" t="shared" si="18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313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174</v>
      </c>
      <c r="X36" s="164">
        <v>10</v>
      </c>
      <c r="Y36" s="162">
        <f>V36+W36+X36</f>
        <v>4090</v>
      </c>
      <c r="Z36" s="162">
        <v>4089</v>
      </c>
      <c r="AA36" s="162">
        <f aca="true" t="shared" si="19" ref="AA36:AA50">Z36+AC36+AG36</f>
        <v>4133</v>
      </c>
      <c r="AB36" s="147">
        <f>Y36-K36</f>
        <v>-215</v>
      </c>
      <c r="AC36" s="147"/>
      <c r="AD36" s="147"/>
      <c r="AE36" s="147"/>
      <c r="AF36" s="147"/>
      <c r="AG36" s="202">
        <f>43+1</f>
        <v>44</v>
      </c>
      <c r="AH36" s="167">
        <f>Y36/D36</f>
        <v>4090</v>
      </c>
      <c r="AI36" s="167">
        <f>J36-(AA36*D36)</f>
        <v>557</v>
      </c>
      <c r="AJ36" s="167"/>
    </row>
    <row r="37" spans="1:36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0" ref="E37:E51">$E$4</f>
        <v>4100</v>
      </c>
      <c r="F37" s="45">
        <f t="shared" si="17"/>
        <v>205</v>
      </c>
      <c r="G37" s="86">
        <f aca="true" t="shared" si="21" ref="G37:G51">$G$4</f>
        <v>350</v>
      </c>
      <c r="H37" s="88">
        <f t="shared" si="18"/>
        <v>35</v>
      </c>
      <c r="I37" s="46">
        <f aca="true" t="shared" si="22" ref="I37:I50">D37*(E37+F37+G37+H37)</f>
        <v>4690</v>
      </c>
      <c r="J37" s="152">
        <f aca="true" t="shared" si="23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4" ref="O37:O50">-K37+L37</f>
        <v>-145</v>
      </c>
      <c r="P37" s="96">
        <f aca="true" t="shared" si="25" ref="P37:P50">Y37</f>
        <v>4092</v>
      </c>
      <c r="Q37" s="112" t="s">
        <v>174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228</v>
      </c>
      <c r="W37" s="157" t="s">
        <v>174</v>
      </c>
      <c r="X37" s="164">
        <v>10</v>
      </c>
      <c r="Y37" s="162">
        <f aca="true" t="shared" si="26" ref="Y37:Y50">V37+W37+X37</f>
        <v>4092</v>
      </c>
      <c r="Z37" s="162">
        <v>4080</v>
      </c>
      <c r="AA37" s="162">
        <f t="shared" si="19"/>
        <v>4094</v>
      </c>
      <c r="AB37" s="147">
        <f aca="true" t="shared" si="27" ref="AB37:AB50">Y37-K37</f>
        <v>-213</v>
      </c>
      <c r="AC37" s="147"/>
      <c r="AD37" s="147"/>
      <c r="AE37" s="147"/>
      <c r="AF37" s="147"/>
      <c r="AG37" s="202">
        <v>14</v>
      </c>
      <c r="AH37" s="167">
        <f aca="true" t="shared" si="28" ref="AH37:AH50">Y37/D37</f>
        <v>4092</v>
      </c>
      <c r="AI37" s="167">
        <f aca="true" t="shared" si="29" ref="AI37:AI51">J37-(AA37*D37)</f>
        <v>596</v>
      </c>
      <c r="AJ37" s="167"/>
    </row>
    <row r="38" spans="1:36" ht="12.75">
      <c r="A38" s="109" t="s">
        <v>34</v>
      </c>
      <c r="B38" s="108"/>
      <c r="C38" s="108" t="s">
        <v>35</v>
      </c>
      <c r="D38" s="110">
        <v>3</v>
      </c>
      <c r="E38" s="45">
        <f t="shared" si="20"/>
        <v>4100</v>
      </c>
      <c r="F38" s="45">
        <f t="shared" si="17"/>
        <v>205</v>
      </c>
      <c r="G38" s="86">
        <f t="shared" si="21"/>
        <v>350</v>
      </c>
      <c r="H38" s="88">
        <f t="shared" si="18"/>
        <v>35</v>
      </c>
      <c r="I38" s="46">
        <f t="shared" si="22"/>
        <v>14070</v>
      </c>
      <c r="J38" s="152">
        <f t="shared" si="23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Y38+982+AC38</f>
        <v>9266</v>
      </c>
      <c r="Q38" s="112" t="s">
        <v>319</v>
      </c>
      <c r="R38" s="130">
        <f t="shared" si="0"/>
        <v>-4804</v>
      </c>
      <c r="S38" s="113"/>
      <c r="T38" s="113" t="s">
        <v>24</v>
      </c>
      <c r="U38" s="112" t="s">
        <v>109</v>
      </c>
      <c r="V38" s="158" t="s">
        <v>243</v>
      </c>
      <c r="W38" s="164">
        <f>3565+3510+1053</f>
        <v>8128</v>
      </c>
      <c r="X38" s="164">
        <v>0</v>
      </c>
      <c r="Y38" s="162">
        <f>V38+W38+X38+AC38</f>
        <v>8284</v>
      </c>
      <c r="Z38" s="88">
        <v>19450</v>
      </c>
      <c r="AA38" s="162">
        <f t="shared" si="19"/>
        <v>19450</v>
      </c>
      <c r="AB38" s="147">
        <f t="shared" si="27"/>
        <v>-4631</v>
      </c>
      <c r="AC38" s="147">
        <v>0</v>
      </c>
      <c r="AD38" s="147"/>
      <c r="AE38" s="147"/>
      <c r="AF38" s="147">
        <f>AC38+AB38</f>
        <v>-4631</v>
      </c>
      <c r="AG38" s="147">
        <v>0</v>
      </c>
      <c r="AH38" s="195">
        <f>Y38/D38+AG21</f>
        <v>2761.3333333333335</v>
      </c>
      <c r="AI38" s="195">
        <f t="shared" si="29"/>
        <v>-44280</v>
      </c>
      <c r="AJ38" s="195"/>
    </row>
    <row r="39" spans="1:36" ht="12.75">
      <c r="A39" s="109" t="s">
        <v>36</v>
      </c>
      <c r="B39" s="108"/>
      <c r="C39" s="108" t="s">
        <v>26</v>
      </c>
      <c r="D39" s="110">
        <v>3</v>
      </c>
      <c r="E39" s="45">
        <f t="shared" si="20"/>
        <v>4100</v>
      </c>
      <c r="F39" s="45">
        <f t="shared" si="17"/>
        <v>205</v>
      </c>
      <c r="G39" s="86">
        <f t="shared" si="21"/>
        <v>350</v>
      </c>
      <c r="H39" s="88">
        <f t="shared" si="18"/>
        <v>35</v>
      </c>
      <c r="I39" s="46">
        <f t="shared" si="22"/>
        <v>14070</v>
      </c>
      <c r="J39" s="152">
        <f t="shared" si="23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0" ref="N39:N50">-I39+L39</f>
        <v>-1770</v>
      </c>
      <c r="O39" s="130">
        <f t="shared" si="24"/>
        <v>-615</v>
      </c>
      <c r="P39" s="96">
        <f t="shared" si="25"/>
        <v>11336</v>
      </c>
      <c r="Q39" s="112" t="s">
        <v>175</v>
      </c>
      <c r="R39" s="130">
        <f t="shared" si="0"/>
        <v>-2734</v>
      </c>
      <c r="S39" s="113"/>
      <c r="T39" s="113" t="s">
        <v>24</v>
      </c>
      <c r="U39" s="112" t="s">
        <v>120</v>
      </c>
      <c r="V39" s="158" t="s">
        <v>239</v>
      </c>
      <c r="W39" s="158" t="s">
        <v>175</v>
      </c>
      <c r="X39" s="164">
        <v>0</v>
      </c>
      <c r="Y39" s="162">
        <f>V39+W39+X39+AC39</f>
        <v>11336</v>
      </c>
      <c r="Z39" s="162">
        <v>9530</v>
      </c>
      <c r="AA39" s="162">
        <f t="shared" si="19"/>
        <v>11930</v>
      </c>
      <c r="AB39" s="147">
        <f t="shared" si="27"/>
        <v>-1579</v>
      </c>
      <c r="AC39" s="91">
        <v>1800</v>
      </c>
      <c r="AD39" s="91"/>
      <c r="AE39" s="91"/>
      <c r="AF39" s="147">
        <f>AC39+AB39</f>
        <v>221</v>
      </c>
      <c r="AG39" s="91">
        <f>AC39/D39</f>
        <v>600</v>
      </c>
      <c r="AH39" s="195">
        <f t="shared" si="28"/>
        <v>3778.6666666666665</v>
      </c>
      <c r="AI39" s="195">
        <f t="shared" si="29"/>
        <v>-21720</v>
      </c>
      <c r="AJ39" s="195"/>
    </row>
    <row r="40" spans="1:36" ht="12.75">
      <c r="A40" s="109" t="s">
        <v>37</v>
      </c>
      <c r="B40" s="108"/>
      <c r="C40" s="108" t="s">
        <v>126</v>
      </c>
      <c r="D40" s="110">
        <v>6</v>
      </c>
      <c r="E40" s="45">
        <f t="shared" si="20"/>
        <v>4100</v>
      </c>
      <c r="F40" s="45">
        <f t="shared" si="17"/>
        <v>205</v>
      </c>
      <c r="G40" s="86">
        <f t="shared" si="21"/>
        <v>350</v>
      </c>
      <c r="H40" s="88">
        <f t="shared" si="18"/>
        <v>35</v>
      </c>
      <c r="I40" s="46">
        <f t="shared" si="22"/>
        <v>28140</v>
      </c>
      <c r="J40" s="152">
        <f t="shared" si="23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0"/>
        <v>-3140</v>
      </c>
      <c r="O40" s="130">
        <f t="shared" si="24"/>
        <v>-830</v>
      </c>
      <c r="P40" s="96">
        <f t="shared" si="25"/>
        <v>24000</v>
      </c>
      <c r="Q40" s="112" t="s">
        <v>176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176</v>
      </c>
      <c r="X40" s="164">
        <v>0</v>
      </c>
      <c r="Y40" s="162">
        <f t="shared" si="26"/>
        <v>24000</v>
      </c>
      <c r="Z40" s="162">
        <v>24000</v>
      </c>
      <c r="AA40" s="162">
        <f t="shared" si="19"/>
        <v>24000</v>
      </c>
      <c r="AB40" s="147">
        <f t="shared" si="27"/>
        <v>-1830</v>
      </c>
      <c r="AC40" s="147"/>
      <c r="AD40" s="147"/>
      <c r="AE40" s="147"/>
      <c r="AF40" s="147"/>
      <c r="AG40" s="147"/>
      <c r="AH40" s="195">
        <f t="shared" si="28"/>
        <v>4000</v>
      </c>
      <c r="AI40" s="195">
        <f t="shared" si="29"/>
        <v>-115860</v>
      </c>
      <c r="AJ40" s="195"/>
    </row>
    <row r="41" spans="1:36" ht="12.75">
      <c r="A41" s="109" t="s">
        <v>38</v>
      </c>
      <c r="B41" s="108"/>
      <c r="C41" s="108" t="s">
        <v>27</v>
      </c>
      <c r="D41" s="110">
        <v>3</v>
      </c>
      <c r="E41" s="45">
        <f t="shared" si="20"/>
        <v>4100</v>
      </c>
      <c r="F41" s="45">
        <f t="shared" si="17"/>
        <v>205</v>
      </c>
      <c r="G41" s="86">
        <f t="shared" si="21"/>
        <v>350</v>
      </c>
      <c r="H41" s="88">
        <f t="shared" si="18"/>
        <v>35</v>
      </c>
      <c r="I41" s="46">
        <f t="shared" si="22"/>
        <v>14070</v>
      </c>
      <c r="J41" s="152">
        <f t="shared" si="23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0"/>
        <v>-1670</v>
      </c>
      <c r="O41" s="130">
        <f t="shared" si="24"/>
        <v>-515</v>
      </c>
      <c r="P41" s="96">
        <f t="shared" si="25"/>
        <v>14306</v>
      </c>
      <c r="Q41" s="112" t="s">
        <v>232</v>
      </c>
      <c r="R41" s="130">
        <f t="shared" si="0"/>
        <v>236</v>
      </c>
      <c r="S41" s="113"/>
      <c r="T41" s="113" t="s">
        <v>24</v>
      </c>
      <c r="U41" s="112" t="s">
        <v>121</v>
      </c>
      <c r="V41" s="158" t="s">
        <v>239</v>
      </c>
      <c r="W41" s="158" t="s">
        <v>232</v>
      </c>
      <c r="X41" s="164">
        <v>2300</v>
      </c>
      <c r="Y41" s="162">
        <f t="shared" si="26"/>
        <v>14306</v>
      </c>
      <c r="Z41" s="162">
        <v>12000</v>
      </c>
      <c r="AA41" s="162">
        <f t="shared" si="19"/>
        <v>12000</v>
      </c>
      <c r="AB41" s="147">
        <f t="shared" si="27"/>
        <v>1391</v>
      </c>
      <c r="AC41" s="147"/>
      <c r="AD41" s="147"/>
      <c r="AE41" s="147"/>
      <c r="AF41" s="147"/>
      <c r="AG41" s="147"/>
      <c r="AH41" s="167">
        <f t="shared" si="28"/>
        <v>4768.666666666667</v>
      </c>
      <c r="AI41" s="167">
        <f t="shared" si="29"/>
        <v>-21930</v>
      </c>
      <c r="AJ41" s="167"/>
    </row>
    <row r="42" spans="1:36" ht="12.75">
      <c r="A42" s="109" t="s">
        <v>40</v>
      </c>
      <c r="B42" s="108"/>
      <c r="C42" s="108" t="s">
        <v>127</v>
      </c>
      <c r="D42" s="110">
        <v>2</v>
      </c>
      <c r="E42" s="45">
        <f t="shared" si="20"/>
        <v>4100</v>
      </c>
      <c r="F42" s="45">
        <f>$E42*30/100</f>
        <v>1230</v>
      </c>
      <c r="G42" s="86">
        <f t="shared" si="21"/>
        <v>350</v>
      </c>
      <c r="H42" s="88">
        <f>$G42*30/100</f>
        <v>105</v>
      </c>
      <c r="I42" s="46">
        <f t="shared" si="22"/>
        <v>11570</v>
      </c>
      <c r="J42" s="152">
        <f t="shared" si="23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0"/>
        <v>-7370</v>
      </c>
      <c r="O42" s="130">
        <f t="shared" si="24"/>
        <v>-4410</v>
      </c>
      <c r="P42" s="96">
        <f t="shared" si="25"/>
        <v>4200</v>
      </c>
      <c r="Q42" s="112" t="s">
        <v>180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180</v>
      </c>
      <c r="X42" s="164">
        <v>0</v>
      </c>
      <c r="Y42" s="162">
        <f t="shared" si="26"/>
        <v>4200</v>
      </c>
      <c r="Z42" s="162">
        <v>4200</v>
      </c>
      <c r="AA42" s="162">
        <f t="shared" si="19"/>
        <v>4200</v>
      </c>
      <c r="AB42" s="147">
        <f t="shared" si="27"/>
        <v>-4410</v>
      </c>
      <c r="AC42" s="147"/>
      <c r="AD42" s="147"/>
      <c r="AE42" s="147"/>
      <c r="AF42" s="147"/>
      <c r="AG42" s="147"/>
      <c r="AH42" s="167">
        <f t="shared" si="28"/>
        <v>2100</v>
      </c>
      <c r="AI42" s="167">
        <f t="shared" si="29"/>
        <v>3170</v>
      </c>
      <c r="AJ42" s="167"/>
    </row>
    <row r="43" spans="1:36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0"/>
        <v>4100</v>
      </c>
      <c r="F43" s="45">
        <f t="shared" si="17"/>
        <v>205</v>
      </c>
      <c r="G43" s="86">
        <f t="shared" si="21"/>
        <v>350</v>
      </c>
      <c r="H43" s="88">
        <f t="shared" si="18"/>
        <v>35</v>
      </c>
      <c r="I43" s="46">
        <f t="shared" si="22"/>
        <v>9380</v>
      </c>
      <c r="J43" s="152">
        <f t="shared" si="23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0"/>
        <v>-1108</v>
      </c>
      <c r="O43" s="130">
        <f t="shared" si="24"/>
        <v>-338</v>
      </c>
      <c r="P43" s="96">
        <f t="shared" si="25"/>
        <v>8204</v>
      </c>
      <c r="Q43" s="51" t="s">
        <v>317</v>
      </c>
      <c r="R43" s="130">
        <f t="shared" si="0"/>
        <v>-1176</v>
      </c>
      <c r="S43" s="140"/>
      <c r="T43" s="113" t="s">
        <v>24</v>
      </c>
      <c r="U43" s="51"/>
      <c r="V43" s="157" t="s">
        <v>237</v>
      </c>
      <c r="W43" s="157"/>
      <c r="X43" s="162">
        <v>8200</v>
      </c>
      <c r="Y43" s="162">
        <f t="shared" si="26"/>
        <v>8204</v>
      </c>
      <c r="Z43" s="162">
        <v>8200</v>
      </c>
      <c r="AA43" s="162">
        <f t="shared" si="19"/>
        <v>8200</v>
      </c>
      <c r="AB43" s="147">
        <f t="shared" si="27"/>
        <v>-406</v>
      </c>
      <c r="AC43" s="147"/>
      <c r="AD43" s="147"/>
      <c r="AE43" s="147"/>
      <c r="AF43" s="147"/>
      <c r="AG43" s="147"/>
      <c r="AH43" s="167">
        <f t="shared" si="28"/>
        <v>4102</v>
      </c>
      <c r="AI43" s="167">
        <f t="shared" si="29"/>
        <v>-7020</v>
      </c>
      <c r="AJ43" s="167"/>
    </row>
    <row r="44" spans="1:36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0"/>
        <v>4100</v>
      </c>
      <c r="F44" s="45">
        <f t="shared" si="17"/>
        <v>205</v>
      </c>
      <c r="G44" s="86">
        <f t="shared" si="21"/>
        <v>350</v>
      </c>
      <c r="H44" s="88">
        <f t="shared" si="18"/>
        <v>35</v>
      </c>
      <c r="I44" s="46">
        <f t="shared" si="22"/>
        <v>4690</v>
      </c>
      <c r="J44" s="152">
        <f t="shared" si="23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0"/>
        <v>-554</v>
      </c>
      <c r="O44" s="130">
        <f t="shared" si="24"/>
        <v>-169</v>
      </c>
      <c r="P44" s="96">
        <f t="shared" si="25"/>
        <v>4102</v>
      </c>
      <c r="Q44" s="51" t="s">
        <v>314</v>
      </c>
      <c r="R44" s="130">
        <f t="shared" si="0"/>
        <v>-588</v>
      </c>
      <c r="S44" s="140"/>
      <c r="T44" s="113" t="s">
        <v>24</v>
      </c>
      <c r="U44" s="51"/>
      <c r="V44" s="157" t="s">
        <v>228</v>
      </c>
      <c r="W44" s="157"/>
      <c r="X44" s="162">
        <v>4100</v>
      </c>
      <c r="Y44" s="162">
        <f t="shared" si="26"/>
        <v>4102</v>
      </c>
      <c r="Z44" s="162">
        <v>4100</v>
      </c>
      <c r="AA44" s="162">
        <f t="shared" si="19"/>
        <v>4100</v>
      </c>
      <c r="AB44" s="147">
        <f t="shared" si="27"/>
        <v>-203</v>
      </c>
      <c r="AC44" s="147"/>
      <c r="AD44" s="147"/>
      <c r="AE44" s="147"/>
      <c r="AF44" s="147"/>
      <c r="AG44" s="147"/>
      <c r="AH44" s="167">
        <f t="shared" si="28"/>
        <v>4102</v>
      </c>
      <c r="AI44" s="167">
        <f t="shared" si="29"/>
        <v>590</v>
      </c>
      <c r="AJ44" s="167"/>
    </row>
    <row r="45" spans="1:36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0"/>
        <v>4100</v>
      </c>
      <c r="F45" s="45">
        <f t="shared" si="17"/>
        <v>205</v>
      </c>
      <c r="G45" s="86">
        <f t="shared" si="21"/>
        <v>350</v>
      </c>
      <c r="H45" s="88">
        <f t="shared" si="18"/>
        <v>35</v>
      </c>
      <c r="I45" s="46">
        <f t="shared" si="22"/>
        <v>4690</v>
      </c>
      <c r="J45" s="152">
        <f t="shared" si="23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0"/>
        <v>-490</v>
      </c>
      <c r="O45" s="130">
        <f t="shared" si="24"/>
        <v>-105</v>
      </c>
      <c r="P45" s="96">
        <f t="shared" si="25"/>
        <v>4102</v>
      </c>
      <c r="Q45" s="51" t="s">
        <v>314</v>
      </c>
      <c r="R45" s="130">
        <f t="shared" si="0"/>
        <v>-588</v>
      </c>
      <c r="S45" s="140"/>
      <c r="T45" s="113" t="s">
        <v>24</v>
      </c>
      <c r="U45" s="51"/>
      <c r="V45" s="157" t="s">
        <v>228</v>
      </c>
      <c r="W45" s="157" t="s">
        <v>179</v>
      </c>
      <c r="X45" s="162">
        <v>1800</v>
      </c>
      <c r="Y45" s="162">
        <f t="shared" si="26"/>
        <v>4102</v>
      </c>
      <c r="Z45" s="162">
        <v>4100</v>
      </c>
      <c r="AA45" s="162">
        <f t="shared" si="19"/>
        <v>4100</v>
      </c>
      <c r="AB45" s="147">
        <f t="shared" si="27"/>
        <v>-203</v>
      </c>
      <c r="AC45" s="147"/>
      <c r="AD45" s="147"/>
      <c r="AE45" s="147"/>
      <c r="AF45" s="147"/>
      <c r="AG45" s="147"/>
      <c r="AH45" s="167">
        <f t="shared" si="28"/>
        <v>4102</v>
      </c>
      <c r="AI45" s="167">
        <f t="shared" si="29"/>
        <v>590</v>
      </c>
      <c r="AJ45" s="167"/>
    </row>
    <row r="46" spans="1:36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0"/>
        <v>4100</v>
      </c>
      <c r="F46" s="45">
        <f t="shared" si="17"/>
        <v>205</v>
      </c>
      <c r="G46" s="86">
        <f t="shared" si="21"/>
        <v>350</v>
      </c>
      <c r="H46" s="88">
        <f t="shared" si="18"/>
        <v>35</v>
      </c>
      <c r="I46" s="46">
        <f>D46*(E46+F46+G46+H46)</f>
        <v>4690</v>
      </c>
      <c r="J46" s="152">
        <f t="shared" si="23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0"/>
        <v>-490</v>
      </c>
      <c r="O46" s="130">
        <f t="shared" si="24"/>
        <v>-105</v>
      </c>
      <c r="P46" s="96">
        <f t="shared" si="25"/>
        <v>4102</v>
      </c>
      <c r="Q46" s="51" t="s">
        <v>314</v>
      </c>
      <c r="R46" s="130">
        <f t="shared" si="0"/>
        <v>-588</v>
      </c>
      <c r="S46" s="140"/>
      <c r="T46" s="113" t="s">
        <v>24</v>
      </c>
      <c r="U46" s="51"/>
      <c r="V46" s="157" t="s">
        <v>228</v>
      </c>
      <c r="W46" s="157"/>
      <c r="X46" s="162">
        <v>4100</v>
      </c>
      <c r="Y46" s="162">
        <f t="shared" si="26"/>
        <v>4102</v>
      </c>
      <c r="Z46" s="162">
        <v>4100</v>
      </c>
      <c r="AA46" s="162">
        <f t="shared" si="19"/>
        <v>4100</v>
      </c>
      <c r="AB46" s="147">
        <f t="shared" si="27"/>
        <v>-203</v>
      </c>
      <c r="AC46" s="147"/>
      <c r="AD46" s="147"/>
      <c r="AE46" s="147"/>
      <c r="AF46" s="147"/>
      <c r="AG46" s="147"/>
      <c r="AH46" s="167">
        <f t="shared" si="28"/>
        <v>4102</v>
      </c>
      <c r="AI46" s="167">
        <f t="shared" si="29"/>
        <v>590</v>
      </c>
      <c r="AJ46" s="167"/>
    </row>
    <row r="47" spans="1:36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0"/>
        <v>4100</v>
      </c>
      <c r="F47" s="45">
        <f t="shared" si="17"/>
        <v>205</v>
      </c>
      <c r="G47" s="86">
        <f t="shared" si="21"/>
        <v>350</v>
      </c>
      <c r="H47" s="88">
        <f t="shared" si="18"/>
        <v>35</v>
      </c>
      <c r="I47" s="46">
        <f t="shared" si="22"/>
        <v>703.5</v>
      </c>
      <c r="J47" s="152">
        <f t="shared" si="23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0"/>
        <v>96.5</v>
      </c>
      <c r="O47" s="130">
        <f t="shared" si="24"/>
        <v>154.25</v>
      </c>
      <c r="P47" s="96">
        <f t="shared" si="25"/>
        <v>800</v>
      </c>
      <c r="Q47" s="51" t="s">
        <v>252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6"/>
        <v>800</v>
      </c>
      <c r="Z47" s="162">
        <v>800</v>
      </c>
      <c r="AA47" s="162">
        <f t="shared" si="19"/>
        <v>800</v>
      </c>
      <c r="AB47" s="147">
        <f t="shared" si="27"/>
        <v>154.25</v>
      </c>
      <c r="AC47" s="147"/>
      <c r="AD47" s="147"/>
      <c r="AE47" s="147"/>
      <c r="AF47" s="147"/>
      <c r="AG47" s="147"/>
      <c r="AH47" s="167">
        <f t="shared" si="28"/>
        <v>5333.333333333334</v>
      </c>
      <c r="AI47" s="167">
        <f t="shared" si="29"/>
        <v>583.5</v>
      </c>
      <c r="AJ47" s="167"/>
    </row>
    <row r="48" spans="1:36" ht="12.75">
      <c r="A48" s="107" t="s">
        <v>102</v>
      </c>
      <c r="B48" s="43"/>
      <c r="C48" s="75" t="s">
        <v>101</v>
      </c>
      <c r="D48" s="76">
        <v>0.1</v>
      </c>
      <c r="E48" s="45">
        <f t="shared" si="20"/>
        <v>4100</v>
      </c>
      <c r="F48" s="45">
        <f t="shared" si="17"/>
        <v>205</v>
      </c>
      <c r="G48" s="86">
        <f t="shared" si="21"/>
        <v>350</v>
      </c>
      <c r="H48" s="88">
        <f t="shared" si="18"/>
        <v>35</v>
      </c>
      <c r="I48" s="46">
        <f>D48*(E48+F48+G48+H48)</f>
        <v>469</v>
      </c>
      <c r="J48" s="152">
        <f t="shared" si="23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0"/>
        <v>-189</v>
      </c>
      <c r="O48" s="130">
        <f t="shared" si="24"/>
        <v>-150.5</v>
      </c>
      <c r="P48" s="96">
        <f t="shared" si="25"/>
        <v>331</v>
      </c>
      <c r="Q48" s="89" t="s">
        <v>177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322</v>
      </c>
      <c r="X48" s="162">
        <v>140</v>
      </c>
      <c r="Y48" s="162">
        <f t="shared" si="26"/>
        <v>331</v>
      </c>
      <c r="Z48" s="162" t="s">
        <v>372</v>
      </c>
      <c r="AA48" s="162" t="e">
        <f t="shared" si="19"/>
        <v>#VALUE!</v>
      </c>
      <c r="AB48" s="91">
        <f t="shared" si="27"/>
        <v>-99.5</v>
      </c>
      <c r="AC48" s="147"/>
      <c r="AD48" s="147"/>
      <c r="AE48" s="147"/>
      <c r="AF48" s="147"/>
      <c r="AG48" s="147"/>
      <c r="AH48" s="88">
        <f t="shared" si="28"/>
        <v>3310</v>
      </c>
      <c r="AI48" s="88" t="e">
        <f t="shared" si="29"/>
        <v>#VALUE!</v>
      </c>
      <c r="AJ48" s="88"/>
    </row>
    <row r="49" spans="1:36" ht="12.75">
      <c r="A49" s="107" t="s">
        <v>13</v>
      </c>
      <c r="B49" s="43"/>
      <c r="C49" s="75"/>
      <c r="D49" s="76">
        <v>1</v>
      </c>
      <c r="E49" s="45">
        <f t="shared" si="20"/>
        <v>4100</v>
      </c>
      <c r="F49" s="45">
        <f t="shared" si="17"/>
        <v>205</v>
      </c>
      <c r="G49" s="86">
        <f t="shared" si="21"/>
        <v>350</v>
      </c>
      <c r="H49" s="88">
        <f t="shared" si="18"/>
        <v>35</v>
      </c>
      <c r="I49" s="46">
        <f t="shared" si="22"/>
        <v>4690</v>
      </c>
      <c r="J49" s="152">
        <f t="shared" si="23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0"/>
        <v>-440</v>
      </c>
      <c r="O49" s="130">
        <f t="shared" si="24"/>
        <v>-55</v>
      </c>
      <c r="P49" s="96">
        <f t="shared" si="25"/>
        <v>4100</v>
      </c>
      <c r="Q49" s="51" t="s">
        <v>314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178</v>
      </c>
      <c r="X49" s="162">
        <v>3950</v>
      </c>
      <c r="Y49" s="162">
        <f t="shared" si="26"/>
        <v>4100</v>
      </c>
      <c r="Z49" s="162">
        <v>4100</v>
      </c>
      <c r="AA49" s="162">
        <f t="shared" si="19"/>
        <v>4100</v>
      </c>
      <c r="AB49" s="147">
        <f t="shared" si="27"/>
        <v>-205</v>
      </c>
      <c r="AC49" s="147"/>
      <c r="AD49" s="147"/>
      <c r="AE49" s="147"/>
      <c r="AF49" s="147"/>
      <c r="AG49" s="147"/>
      <c r="AH49" s="167">
        <f t="shared" si="28"/>
        <v>4100</v>
      </c>
      <c r="AI49" s="167">
        <f t="shared" si="29"/>
        <v>590</v>
      </c>
      <c r="AJ49" s="167"/>
    </row>
    <row r="50" spans="1:36" ht="12.75">
      <c r="A50" s="107" t="s">
        <v>14</v>
      </c>
      <c r="B50" s="43"/>
      <c r="C50" s="75"/>
      <c r="D50" s="76">
        <v>1</v>
      </c>
      <c r="E50" s="45">
        <f t="shared" si="20"/>
        <v>4100</v>
      </c>
      <c r="F50" s="45">
        <f t="shared" si="17"/>
        <v>205</v>
      </c>
      <c r="G50" s="86">
        <f t="shared" si="21"/>
        <v>350</v>
      </c>
      <c r="H50" s="88">
        <f t="shared" si="18"/>
        <v>35</v>
      </c>
      <c r="I50" s="46">
        <f t="shared" si="22"/>
        <v>4690</v>
      </c>
      <c r="J50" s="152">
        <f t="shared" si="23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0"/>
        <v>-417</v>
      </c>
      <c r="O50" s="130">
        <f t="shared" si="24"/>
        <v>-32</v>
      </c>
      <c r="P50" s="96">
        <f t="shared" si="25"/>
        <v>4100</v>
      </c>
      <c r="Q50" s="51" t="s">
        <v>314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166</v>
      </c>
      <c r="X50" s="162">
        <v>4000</v>
      </c>
      <c r="Y50" s="162">
        <f t="shared" si="26"/>
        <v>4100</v>
      </c>
      <c r="Z50" s="162">
        <v>4100</v>
      </c>
      <c r="AA50" s="162">
        <f t="shared" si="19"/>
        <v>4100</v>
      </c>
      <c r="AB50" s="147">
        <f t="shared" si="27"/>
        <v>-205</v>
      </c>
      <c r="AC50" s="147"/>
      <c r="AD50" s="147"/>
      <c r="AE50" s="147"/>
      <c r="AF50" s="147"/>
      <c r="AG50" s="147"/>
      <c r="AH50" s="167">
        <f t="shared" si="28"/>
        <v>4100</v>
      </c>
      <c r="AI50" s="167">
        <f t="shared" si="29"/>
        <v>590</v>
      </c>
      <c r="AJ50" s="167"/>
    </row>
    <row r="51" spans="1:43" ht="12.75">
      <c r="A51" s="221" t="s">
        <v>345</v>
      </c>
      <c r="B51" s="43" t="s">
        <v>346</v>
      </c>
      <c r="C51" s="75"/>
      <c r="D51" s="76">
        <v>0.05</v>
      </c>
      <c r="E51" s="45">
        <f t="shared" si="20"/>
        <v>4100</v>
      </c>
      <c r="F51" s="45">
        <f t="shared" si="17"/>
        <v>205</v>
      </c>
      <c r="G51" s="86">
        <f t="shared" si="21"/>
        <v>350</v>
      </c>
      <c r="H51" s="88">
        <f t="shared" si="18"/>
        <v>35</v>
      </c>
      <c r="I51" s="46">
        <f>D51*(E51+F51+G51+H51)</f>
        <v>234.5</v>
      </c>
      <c r="J51" s="152">
        <f t="shared" si="23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371</v>
      </c>
      <c r="X51" s="162"/>
      <c r="Y51" s="162"/>
      <c r="Z51" s="162"/>
      <c r="AA51" s="162"/>
      <c r="AB51" s="147"/>
      <c r="AC51" s="147"/>
      <c r="AD51" s="147"/>
      <c r="AE51" s="147"/>
      <c r="AF51" s="147"/>
      <c r="AG51" s="147">
        <v>0</v>
      </c>
      <c r="AH51" s="167"/>
      <c r="AI51" s="167">
        <f t="shared" si="29"/>
        <v>234.5</v>
      </c>
      <c r="AJ51" s="167"/>
      <c r="AQ51" t="s">
        <v>274</v>
      </c>
    </row>
    <row r="52" spans="1:36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-512581.25</v>
      </c>
      <c r="AC52" s="139"/>
      <c r="AD52" s="139"/>
      <c r="AE52" s="139"/>
      <c r="AF52" s="139"/>
      <c r="AG52" s="139"/>
      <c r="AH52" s="135"/>
      <c r="AI52" s="135"/>
      <c r="AJ52" s="135"/>
    </row>
    <row r="53" spans="1:38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K53" s="13"/>
      <c r="AL53" s="9"/>
    </row>
    <row r="54" spans="1:38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22"/>
      <c r="AJ54" s="22"/>
      <c r="AK54" s="13"/>
      <c r="AL54" s="18"/>
    </row>
    <row r="55" spans="2:38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21"/>
      <c r="AJ55" s="21"/>
      <c r="AK55" s="13"/>
      <c r="AL55" s="9"/>
    </row>
    <row r="56" spans="2:38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21"/>
      <c r="AJ56" s="21"/>
      <c r="AK56" s="13"/>
      <c r="AL56" s="9"/>
    </row>
    <row r="57" spans="1:40" ht="56.2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339</v>
      </c>
      <c r="K57" s="154" t="s">
        <v>334</v>
      </c>
      <c r="L57" s="189" t="s">
        <v>4</v>
      </c>
      <c r="M57" s="33" t="s">
        <v>29</v>
      </c>
      <c r="N57" s="38" t="s">
        <v>123</v>
      </c>
      <c r="O57" s="187" t="s">
        <v>335</v>
      </c>
      <c r="P57" s="33" t="s">
        <v>30</v>
      </c>
      <c r="Q57" s="156" t="s">
        <v>336</v>
      </c>
      <c r="R57" s="33" t="s">
        <v>226</v>
      </c>
      <c r="S57" s="40" t="s">
        <v>16</v>
      </c>
      <c r="T57" s="40" t="s">
        <v>28</v>
      </c>
      <c r="U57" s="39" t="s">
        <v>119</v>
      </c>
      <c r="V57" s="156" t="s">
        <v>227</v>
      </c>
      <c r="W57" s="156" t="s">
        <v>163</v>
      </c>
      <c r="X57" s="165" t="s">
        <v>118</v>
      </c>
      <c r="Y57" s="165" t="s">
        <v>246</v>
      </c>
      <c r="Z57" s="165" t="s">
        <v>357</v>
      </c>
      <c r="AA57" s="216" t="s">
        <v>359</v>
      </c>
      <c r="AB57" s="166" t="s">
        <v>373</v>
      </c>
      <c r="AC57" s="166" t="s">
        <v>370</v>
      </c>
      <c r="AD57" s="166"/>
      <c r="AE57" s="166"/>
      <c r="AF57" s="166" t="s">
        <v>360</v>
      </c>
      <c r="AG57" s="166" t="s">
        <v>262</v>
      </c>
      <c r="AH57" s="165" t="s">
        <v>361</v>
      </c>
      <c r="AI57" s="209" t="s">
        <v>342</v>
      </c>
      <c r="AJ57" s="209" t="s">
        <v>356</v>
      </c>
      <c r="AK57" s="218" t="s">
        <v>337</v>
      </c>
      <c r="AL57" s="190" t="s">
        <v>304</v>
      </c>
      <c r="AM57" s="190" t="s">
        <v>338</v>
      </c>
      <c r="AN57" s="218" t="s">
        <v>363</v>
      </c>
    </row>
    <row r="58" spans="2:38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3"/>
      <c r="AA58" s="23"/>
      <c r="AB58" s="223" t="s">
        <v>367</v>
      </c>
      <c r="AC58" s="4"/>
      <c r="AD58" s="4"/>
      <c r="AE58" s="4"/>
      <c r="AF58" s="4"/>
      <c r="AG58" s="4"/>
      <c r="AH58" s="21"/>
      <c r="AI58" s="21"/>
      <c r="AJ58" s="21"/>
      <c r="AK58" s="219" t="s">
        <v>362</v>
      </c>
      <c r="AL58" s="8"/>
    </row>
    <row r="59" spans="1:39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104"/>
      <c r="AJ59" s="104"/>
      <c r="AK59" s="72"/>
      <c r="AL59" s="10"/>
      <c r="AM59" s="10"/>
    </row>
    <row r="60" spans="1:39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1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8+435+532+AC60</f>
        <v>1904</v>
      </c>
      <c r="Q60" s="89" t="s">
        <v>252</v>
      </c>
      <c r="R60" s="196">
        <f>-I60+P60</f>
        <v>-1966</v>
      </c>
      <c r="S60" s="50"/>
      <c r="T60" s="50" t="s">
        <v>91</v>
      </c>
      <c r="U60" s="89" t="s">
        <v>41</v>
      </c>
      <c r="V60" s="157" t="s">
        <v>228</v>
      </c>
      <c r="W60" s="157" t="s">
        <v>323</v>
      </c>
      <c r="X60" s="162">
        <v>2</v>
      </c>
      <c r="Y60" s="162">
        <f>V60+W60+X60</f>
        <v>2004</v>
      </c>
      <c r="Z60" s="162">
        <v>800</v>
      </c>
      <c r="AA60" s="162">
        <f>AG60+AH60</f>
        <v>2933</v>
      </c>
      <c r="AB60" s="202">
        <f>(3+2)/D60</f>
        <v>5</v>
      </c>
      <c r="AC60" s="91">
        <f>1344+560+225-1200</f>
        <v>929</v>
      </c>
      <c r="AD60" s="91"/>
      <c r="AE60" s="91"/>
      <c r="AF60" s="172">
        <f>AG60-AH60+500</f>
        <v>-575</v>
      </c>
      <c r="AG60" s="172">
        <f>AC60/D60</f>
        <v>929</v>
      </c>
      <c r="AH60" s="96">
        <f>Y60/D60</f>
        <v>2004</v>
      </c>
      <c r="AI60" s="88">
        <f aca="true" t="shared" si="32" ref="AI60:AI67">J60-(AA60*D60)</f>
        <v>937</v>
      </c>
      <c r="AJ60" s="96"/>
      <c r="AK60" s="176" t="s">
        <v>263</v>
      </c>
      <c r="AL60" s="205">
        <f>AH60+AK60+550</f>
        <v>3069</v>
      </c>
      <c r="AM60" s="172">
        <f>AL60-4305</f>
        <v>-1236</v>
      </c>
    </row>
    <row r="61" spans="1:39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 t="shared" si="31"/>
        <v>9470</v>
      </c>
      <c r="J61" s="152">
        <f>I61-480*D61</f>
        <v>8510</v>
      </c>
      <c r="K61" s="152">
        <f>(E61+F61-480)*D61</f>
        <v>7740</v>
      </c>
      <c r="L61" s="46">
        <v>7420</v>
      </c>
      <c r="M61" s="47" t="s">
        <v>95</v>
      </c>
      <c r="N61" s="78">
        <f>-I61+L61</f>
        <v>-2050</v>
      </c>
      <c r="O61" s="130">
        <f>-K61+L61</f>
        <v>-320</v>
      </c>
      <c r="P61" s="130">
        <f>7420-206</f>
        <v>7214</v>
      </c>
      <c r="Q61" s="89" t="s">
        <v>253</v>
      </c>
      <c r="R61" s="196">
        <f>-I61+P61</f>
        <v>-2256</v>
      </c>
      <c r="S61" s="50" t="s">
        <v>31</v>
      </c>
      <c r="T61" s="50" t="s">
        <v>106</v>
      </c>
      <c r="U61" s="89" t="s">
        <v>274</v>
      </c>
      <c r="V61" s="157" t="s">
        <v>245</v>
      </c>
      <c r="W61" s="157" t="s">
        <v>324</v>
      </c>
      <c r="X61" s="162">
        <v>4</v>
      </c>
      <c r="Y61" s="88">
        <f>V61+W61+X61</f>
        <v>4004</v>
      </c>
      <c r="Z61" s="162">
        <v>1600</v>
      </c>
      <c r="AA61" s="162">
        <f aca="true" t="shared" si="33" ref="AA61:AA68">AG61+AH61</f>
        <v>2540</v>
      </c>
      <c r="AB61" s="91"/>
      <c r="AC61" s="91">
        <v>1076</v>
      </c>
      <c r="AD61" s="91"/>
      <c r="AE61" s="91"/>
      <c r="AF61" s="172">
        <f>AG61-AH61+500</f>
        <v>-964</v>
      </c>
      <c r="AG61" s="172">
        <f>AC61/D61</f>
        <v>538</v>
      </c>
      <c r="AH61" s="96">
        <f>Y61/D61</f>
        <v>2002</v>
      </c>
      <c r="AI61" s="88">
        <f t="shared" si="32"/>
        <v>3430</v>
      </c>
      <c r="AJ61" s="96"/>
      <c r="AK61" s="176" t="s">
        <v>273</v>
      </c>
      <c r="AL61" s="205">
        <f>AH61+AK61+550</f>
        <v>3202</v>
      </c>
      <c r="AM61" s="172">
        <f>AL61-4305</f>
        <v>-1103</v>
      </c>
    </row>
    <row r="62" spans="1:39" s="15" customFormat="1" ht="12.75">
      <c r="A62" s="99" t="s">
        <v>344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1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A62" s="162">
        <f t="shared" si="33"/>
        <v>0</v>
      </c>
      <c r="AB62" s="91"/>
      <c r="AC62" s="91"/>
      <c r="AD62" s="91"/>
      <c r="AE62" s="91"/>
      <c r="AF62" s="91"/>
      <c r="AG62" s="91"/>
      <c r="AH62" s="88"/>
      <c r="AI62" s="88"/>
      <c r="AJ62" s="88"/>
      <c r="AK62" s="89" t="s">
        <v>263</v>
      </c>
      <c r="AL62" s="214">
        <f>AH62+AK62+550</f>
        <v>1065</v>
      </c>
      <c r="AM62" s="91">
        <f>AL62-4305</f>
        <v>-3240</v>
      </c>
    </row>
    <row r="63" spans="1:39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1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AC63+4110</f>
        <v>5375</v>
      </c>
      <c r="Q63" s="89" t="s">
        <v>254</v>
      </c>
      <c r="R63" s="196">
        <f>-I63+P63</f>
        <v>640</v>
      </c>
      <c r="S63" s="141"/>
      <c r="T63" s="141" t="s">
        <v>94</v>
      </c>
      <c r="U63" s="49"/>
      <c r="V63" s="157"/>
      <c r="W63" s="157" t="s">
        <v>325</v>
      </c>
      <c r="X63" s="162">
        <v>2</v>
      </c>
      <c r="Y63" s="162">
        <f>V63+W63+X63</f>
        <v>2012</v>
      </c>
      <c r="Z63" s="162">
        <v>810</v>
      </c>
      <c r="AA63" s="162">
        <f t="shared" si="33"/>
        <v>3277</v>
      </c>
      <c r="AB63" s="91"/>
      <c r="AC63" s="91">
        <f>1800+675-10-1200</f>
        <v>1265</v>
      </c>
      <c r="AD63" s="91"/>
      <c r="AE63" s="91"/>
      <c r="AF63" s="172">
        <f>AG63-AH63+500</f>
        <v>-247</v>
      </c>
      <c r="AG63" s="172">
        <f>AC63/D63</f>
        <v>1265</v>
      </c>
      <c r="AH63" s="96">
        <f>Y63/D63</f>
        <v>2012</v>
      </c>
      <c r="AI63" s="88">
        <f t="shared" si="32"/>
        <v>978</v>
      </c>
      <c r="AJ63" s="96"/>
      <c r="AK63" s="176" t="s">
        <v>263</v>
      </c>
      <c r="AL63" s="205">
        <f>AH63+AK63+550</f>
        <v>3077</v>
      </c>
      <c r="AM63" s="172">
        <f>AL63-4305</f>
        <v>-1228</v>
      </c>
    </row>
    <row r="64" spans="1:39" ht="12.75">
      <c r="A64" s="74" t="s">
        <v>154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1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AC64+6460</f>
        <v>7395</v>
      </c>
      <c r="Q64" s="51" t="s">
        <v>253</v>
      </c>
      <c r="R64" s="171">
        <f>-I64+P64</f>
        <v>-1305</v>
      </c>
      <c r="S64" s="140" t="s">
        <v>31</v>
      </c>
      <c r="T64" s="50" t="s">
        <v>155</v>
      </c>
      <c r="U64" s="51"/>
      <c r="V64" s="157"/>
      <c r="W64" s="157" t="s">
        <v>324</v>
      </c>
      <c r="X64" s="162">
        <v>4</v>
      </c>
      <c r="Y64" s="162">
        <f>V64+W64+X64</f>
        <v>4004</v>
      </c>
      <c r="Z64" s="162">
        <v>1600</v>
      </c>
      <c r="AA64" s="162">
        <f t="shared" si="33"/>
        <v>2469.5</v>
      </c>
      <c r="AB64" s="224">
        <f>(85+5)/D64</f>
        <v>45</v>
      </c>
      <c r="AC64" s="91">
        <f>3335-2400</f>
        <v>935</v>
      </c>
      <c r="AD64" s="91"/>
      <c r="AE64" s="91"/>
      <c r="AF64" s="172">
        <f>AG64-AH64+500</f>
        <v>-1034.5</v>
      </c>
      <c r="AG64" s="172">
        <f>AC64/D64</f>
        <v>467.5</v>
      </c>
      <c r="AH64" s="96">
        <f>Y64/D64</f>
        <v>2002</v>
      </c>
      <c r="AI64" s="88">
        <f t="shared" si="32"/>
        <v>2801</v>
      </c>
      <c r="AJ64" s="96"/>
      <c r="AK64" s="176" t="s">
        <v>273</v>
      </c>
      <c r="AL64" s="205">
        <f>AH64+AK64+550</f>
        <v>3202</v>
      </c>
      <c r="AM64" s="172">
        <f>AL64-4305</f>
        <v>-1103</v>
      </c>
    </row>
    <row r="65" spans="1:37" s="15" customFormat="1" ht="12.75">
      <c r="A65" s="99" t="s">
        <v>153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1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155</v>
      </c>
      <c r="U65" s="89"/>
      <c r="V65" s="89"/>
      <c r="W65" s="89"/>
      <c r="X65" s="88"/>
      <c r="Y65" s="88"/>
      <c r="Z65" s="88"/>
      <c r="AA65" s="162">
        <f t="shared" si="33"/>
        <v>0</v>
      </c>
      <c r="AB65" s="91"/>
      <c r="AC65" s="91"/>
      <c r="AD65" s="91"/>
      <c r="AE65" s="91"/>
      <c r="AF65" s="91"/>
      <c r="AG65" s="91"/>
      <c r="AH65" s="88"/>
      <c r="AI65" s="88"/>
      <c r="AJ65" s="88"/>
      <c r="AK65" s="89"/>
    </row>
    <row r="66" spans="1:39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1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AC66+13164</f>
        <v>13759</v>
      </c>
      <c r="Q66" s="51" t="s">
        <v>316</v>
      </c>
      <c r="R66" s="196">
        <f>-I66+P66</f>
        <v>5059</v>
      </c>
      <c r="S66" s="140" t="s">
        <v>31</v>
      </c>
      <c r="T66" s="50" t="s">
        <v>155</v>
      </c>
      <c r="U66" s="51"/>
      <c r="V66" s="157"/>
      <c r="W66" s="157" t="s">
        <v>324</v>
      </c>
      <c r="X66" s="162">
        <v>4</v>
      </c>
      <c r="Y66" s="162">
        <f>V66+W66+X66</f>
        <v>4004</v>
      </c>
      <c r="Z66" s="162">
        <v>2100</v>
      </c>
      <c r="AA66" s="162">
        <f t="shared" si="33"/>
        <v>2299.5</v>
      </c>
      <c r="AB66" s="91"/>
      <c r="AC66" s="91">
        <f>1700+1375-80-2400</f>
        <v>595</v>
      </c>
      <c r="AD66" s="91"/>
      <c r="AE66" s="91"/>
      <c r="AF66" s="172">
        <f>AG66-AH66+500</f>
        <v>-1204.5</v>
      </c>
      <c r="AG66" s="172">
        <f>AC66/D66</f>
        <v>297.5</v>
      </c>
      <c r="AH66" s="96">
        <f>Y66/D66</f>
        <v>2002</v>
      </c>
      <c r="AI66" s="88">
        <f t="shared" si="32"/>
        <v>3141</v>
      </c>
      <c r="AJ66" s="96"/>
      <c r="AK66" s="176" t="s">
        <v>273</v>
      </c>
      <c r="AL66" s="205">
        <f>AH66+AK66+550</f>
        <v>3202</v>
      </c>
      <c r="AM66" s="172">
        <f>AL66-4305</f>
        <v>-1103</v>
      </c>
    </row>
    <row r="67" spans="1:39" ht="12.75">
      <c r="A67" s="109" t="s">
        <v>341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1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AB67+10658</f>
        <v>10872</v>
      </c>
      <c r="Q67" s="51" t="s">
        <v>255</v>
      </c>
      <c r="R67" s="196">
        <f>-I67+P67</f>
        <v>-3333</v>
      </c>
      <c r="S67" s="140" t="s">
        <v>31</v>
      </c>
      <c r="T67" s="113" t="s">
        <v>155</v>
      </c>
      <c r="U67" s="112"/>
      <c r="V67" s="158" t="s">
        <v>245</v>
      </c>
      <c r="W67" s="158" t="s">
        <v>326</v>
      </c>
      <c r="X67" s="164">
        <v>6</v>
      </c>
      <c r="Y67" s="162">
        <f>V67+W67+X67</f>
        <v>5706</v>
      </c>
      <c r="Z67" s="162">
        <v>2400</v>
      </c>
      <c r="AA67" s="162">
        <f t="shared" si="33"/>
        <v>1973.3333333333333</v>
      </c>
      <c r="AB67" s="224">
        <f>(612+30)/D67</f>
        <v>214</v>
      </c>
      <c r="AC67">
        <v>0</v>
      </c>
      <c r="AF67" s="172">
        <f>AG67-AH67+500</f>
        <v>-1330.6666666666667</v>
      </c>
      <c r="AG67" s="172">
        <f>AB67/D67</f>
        <v>71.33333333333333</v>
      </c>
      <c r="AH67" s="96">
        <f>Y67/D67</f>
        <v>1902</v>
      </c>
      <c r="AI67" s="88">
        <f t="shared" si="32"/>
        <v>6845</v>
      </c>
      <c r="AJ67" s="96"/>
      <c r="AK67" s="177" t="s">
        <v>263</v>
      </c>
      <c r="AL67" s="205">
        <f>AH67+AK67+550</f>
        <v>2967</v>
      </c>
      <c r="AM67" s="172">
        <f>AL67-4305</f>
        <v>-1338</v>
      </c>
    </row>
    <row r="68" spans="1:39" s="15" customFormat="1" ht="12.75">
      <c r="A68" s="210" t="s">
        <v>343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1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A68" s="162">
        <f t="shared" si="33"/>
        <v>0</v>
      </c>
      <c r="AB68" s="114"/>
      <c r="AC68" s="114"/>
      <c r="AD68" s="114"/>
      <c r="AE68" s="114"/>
      <c r="AF68" s="91"/>
      <c r="AG68" s="91"/>
      <c r="AH68" s="88"/>
      <c r="AI68" s="88"/>
      <c r="AJ68" s="88"/>
      <c r="AK68" s="112" t="s">
        <v>263</v>
      </c>
      <c r="AL68" s="214">
        <f>AH68+AK68+550</f>
        <v>1065</v>
      </c>
      <c r="AM68" s="91">
        <f>AL68-4305</f>
        <v>-3240</v>
      </c>
    </row>
    <row r="69" spans="2:38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21"/>
      <c r="AJ69" s="21"/>
      <c r="AK69" s="13"/>
      <c r="AL69" s="8"/>
    </row>
    <row r="70" spans="1:38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21"/>
      <c r="AJ70" s="21"/>
      <c r="AK70" s="13"/>
      <c r="AL70" s="8"/>
    </row>
    <row r="71" spans="2:38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21"/>
      <c r="AJ71" s="21"/>
      <c r="AK71" s="13"/>
      <c r="AL71" s="8"/>
    </row>
    <row r="72" spans="2:38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1"/>
      <c r="AI72" s="21"/>
      <c r="AJ72" s="21"/>
      <c r="AK72" s="13"/>
      <c r="AL72" s="8"/>
    </row>
    <row r="73" spans="2:38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21"/>
      <c r="AJ73" s="21"/>
      <c r="AK73" s="13"/>
      <c r="AL73" s="8"/>
    </row>
    <row r="74" spans="2:38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21"/>
      <c r="AJ74" s="21"/>
      <c r="AK74" s="13"/>
      <c r="AL74" s="8"/>
    </row>
    <row r="75" spans="1:38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52"/>
      <c r="AJ75" s="52"/>
      <c r="AK75" s="93"/>
      <c r="AL75" s="9"/>
    </row>
    <row r="76" spans="1:38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52"/>
      <c r="AJ76" s="52"/>
      <c r="AK76" s="93"/>
      <c r="AL76" s="9"/>
    </row>
    <row r="77" spans="2:38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21"/>
      <c r="AJ77" s="21"/>
      <c r="AK77" s="13"/>
      <c r="AL77" s="8"/>
    </row>
    <row r="78" spans="2:38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21"/>
      <c r="AJ78" s="21"/>
      <c r="AK78" s="13"/>
      <c r="AL78" s="8"/>
    </row>
    <row r="79" spans="2:38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21"/>
      <c r="AJ79" s="21"/>
      <c r="AK79" s="13"/>
      <c r="AL79" s="8"/>
    </row>
    <row r="80" spans="2:38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21"/>
      <c r="AJ80" s="21"/>
      <c r="AK80" s="13"/>
      <c r="AL80" s="8"/>
    </row>
    <row r="81" spans="2:38" ht="12.75">
      <c r="B81" s="30"/>
      <c r="C81" s="30"/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/>
      <c r="AD81" s="4"/>
      <c r="AE81" s="4"/>
      <c r="AF81" s="4"/>
      <c r="AG81" s="4"/>
      <c r="AH81" s="21"/>
      <c r="AI81" s="21"/>
      <c r="AJ81" s="21"/>
      <c r="AK81" s="13"/>
      <c r="AL81" s="8"/>
    </row>
    <row r="82" spans="2:38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/>
      <c r="AD82" s="4"/>
      <c r="AE82" s="4"/>
      <c r="AF82" s="4"/>
      <c r="AG82" s="4"/>
      <c r="AH82" s="21"/>
      <c r="AI82" s="21"/>
      <c r="AJ82" s="21"/>
      <c r="AK82" s="13"/>
      <c r="AL82" s="8"/>
    </row>
    <row r="83" spans="2:38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21"/>
      <c r="AJ83" s="21"/>
      <c r="AK83" s="13"/>
      <c r="AL83" s="8"/>
    </row>
    <row r="84" spans="1:38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21"/>
      <c r="AJ84" s="21"/>
      <c r="AK84" s="13"/>
      <c r="AL84" s="8"/>
    </row>
    <row r="85" spans="2:38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21"/>
      <c r="AJ85" s="21"/>
      <c r="AK85" s="13"/>
      <c r="AL85" s="8"/>
    </row>
    <row r="86" spans="2:38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21"/>
      <c r="AJ86" s="21"/>
      <c r="AK86" s="13"/>
      <c r="AL86" s="8"/>
    </row>
    <row r="87" spans="2:38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21"/>
      <c r="AJ87" s="21"/>
      <c r="AK87" s="13"/>
      <c r="AL87" s="8"/>
    </row>
    <row r="88" spans="2:38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21"/>
      <c r="AJ88" s="21"/>
      <c r="AK88" s="13"/>
      <c r="AL88" s="8"/>
    </row>
    <row r="89" spans="2:38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21"/>
      <c r="AJ89" s="21"/>
      <c r="AK89" s="13"/>
      <c r="AL89" s="8"/>
    </row>
    <row r="90" spans="2:38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21"/>
      <c r="AJ90" s="21"/>
      <c r="AK90" s="13"/>
      <c r="AL90" s="8"/>
    </row>
    <row r="91" spans="2:38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21"/>
      <c r="AJ91" s="21"/>
      <c r="AK91" s="13"/>
      <c r="AL91" s="8"/>
    </row>
    <row r="92" spans="2:38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21"/>
      <c r="AJ92" s="21"/>
      <c r="AK92" s="13"/>
      <c r="AL92" s="8"/>
    </row>
    <row r="93" spans="2:38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21"/>
      <c r="AJ93" s="21"/>
      <c r="AK93" s="13"/>
      <c r="AL93" s="8"/>
    </row>
    <row r="94" spans="2:38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21"/>
      <c r="AJ94" s="21"/>
      <c r="AK94" s="13"/>
      <c r="AL94" s="8"/>
    </row>
    <row r="95" spans="2:38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21"/>
      <c r="AJ95" s="21"/>
      <c r="AK95" s="13"/>
      <c r="AL95" s="8"/>
    </row>
    <row r="96" spans="2:38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21"/>
      <c r="AJ96" s="21"/>
      <c r="AK96" s="13"/>
      <c r="AL96" s="8"/>
    </row>
    <row r="97" spans="2:38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21"/>
      <c r="AJ97" s="21"/>
      <c r="AK97" s="13"/>
      <c r="AL97" s="8"/>
    </row>
    <row r="98" spans="2:38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21"/>
      <c r="AJ98" s="21"/>
      <c r="AK98" s="13"/>
      <c r="AL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9" sqref="C29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286</v>
      </c>
      <c r="B1"/>
      <c r="C1" t="s">
        <v>288</v>
      </c>
      <c r="D1" t="s">
        <v>287</v>
      </c>
      <c r="E1" t="s">
        <v>287</v>
      </c>
      <c r="F1"/>
      <c r="G1"/>
      <c r="H1" t="s">
        <v>287</v>
      </c>
      <c r="I1" t="s">
        <v>287</v>
      </c>
      <c r="J1"/>
      <c r="K1"/>
      <c r="L1"/>
      <c r="M1"/>
      <c r="N1" t="s">
        <v>294</v>
      </c>
      <c r="O1" t="s">
        <v>378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128</v>
      </c>
      <c r="E2" s="143" t="s">
        <v>136</v>
      </c>
      <c r="F2" s="181" t="s">
        <v>128</v>
      </c>
      <c r="G2" s="143" t="s">
        <v>136</v>
      </c>
      <c r="H2" s="181" t="s">
        <v>128</v>
      </c>
      <c r="I2" s="143" t="s">
        <v>136</v>
      </c>
      <c r="J2" s="181" t="s">
        <v>128</v>
      </c>
      <c r="K2" s="143" t="s">
        <v>136</v>
      </c>
      <c r="L2" s="143"/>
      <c r="M2" s="143"/>
      <c r="N2" t="s">
        <v>376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296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134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375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295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374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293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379</v>
      </c>
      <c r="B10" t="s">
        <v>285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382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380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0</v>
      </c>
      <c r="K18" s="144">
        <v>0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381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377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5057</v>
      </c>
      <c r="K19" s="15">
        <f t="shared" si="0"/>
        <v>2201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227">
        <v>8245</v>
      </c>
      <c r="K20" s="227">
        <v>2720</v>
      </c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44">
        <f>SUM(J19:J20)</f>
        <v>13302</v>
      </c>
      <c r="K21" s="144">
        <f>SUM(K19:K20)</f>
        <v>4921</v>
      </c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383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/>
      <c r="C31"/>
      <c r="D31"/>
      <c r="E31"/>
      <c r="F31"/>
      <c r="G31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scale="72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181</v>
      </c>
      <c r="C1" t="s">
        <v>182</v>
      </c>
      <c r="D1" s="146" t="s">
        <v>183</v>
      </c>
      <c r="E1" s="143" t="s">
        <v>184</v>
      </c>
      <c r="F1" s="143" t="s">
        <v>185</v>
      </c>
      <c r="G1" t="s">
        <v>186</v>
      </c>
      <c r="H1" t="s">
        <v>187</v>
      </c>
      <c r="I1" t="s">
        <v>181</v>
      </c>
      <c r="J1" s="146" t="s">
        <v>188</v>
      </c>
      <c r="K1" t="s">
        <v>196</v>
      </c>
      <c r="L1" s="143" t="s">
        <v>184</v>
      </c>
      <c r="M1" s="143" t="s">
        <v>185</v>
      </c>
      <c r="N1" t="s">
        <v>186</v>
      </c>
      <c r="O1" t="s">
        <v>201</v>
      </c>
      <c r="P1" t="s">
        <v>181</v>
      </c>
      <c r="Q1" t="s">
        <v>182</v>
      </c>
      <c r="R1" s="144" t="s">
        <v>183</v>
      </c>
    </row>
    <row r="2" spans="1:17" ht="12.75">
      <c r="A2" s="144" t="s">
        <v>208</v>
      </c>
      <c r="B2" s="142" t="s">
        <v>189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209</v>
      </c>
      <c r="B3" s="142"/>
      <c r="C3" s="142" t="s">
        <v>190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210</v>
      </c>
      <c r="B4" s="142"/>
      <c r="C4" s="142"/>
      <c r="D4" s="146" t="s">
        <v>191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193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192</v>
      </c>
      <c r="I6" s="142"/>
      <c r="K6" s="142"/>
      <c r="N6" s="142"/>
      <c r="O6" s="142"/>
      <c r="P6" s="142"/>
      <c r="Q6" s="142"/>
    </row>
    <row r="7" spans="2:18" ht="12.75">
      <c r="B7" s="142" t="s">
        <v>212</v>
      </c>
      <c r="C7" s="142" t="s">
        <v>212</v>
      </c>
      <c r="D7" s="146" t="s">
        <v>212</v>
      </c>
      <c r="E7" s="142"/>
      <c r="F7" s="142"/>
      <c r="G7" s="142" t="s">
        <v>212</v>
      </c>
      <c r="H7" s="142" t="s">
        <v>211</v>
      </c>
      <c r="I7" s="142" t="s">
        <v>194</v>
      </c>
      <c r="K7" s="142" t="s">
        <v>220</v>
      </c>
      <c r="N7" s="142" t="s">
        <v>197</v>
      </c>
      <c r="O7" s="142"/>
      <c r="P7" s="142"/>
      <c r="Q7" s="142"/>
      <c r="R7" s="144" t="s">
        <v>202</v>
      </c>
    </row>
    <row r="8" spans="2:17" ht="12.75">
      <c r="B8" s="142"/>
      <c r="C8" s="142"/>
      <c r="E8" s="142"/>
      <c r="F8" s="142"/>
      <c r="G8" s="142"/>
      <c r="H8" s="145" t="s">
        <v>213</v>
      </c>
      <c r="I8" s="142"/>
      <c r="K8" s="142" t="s">
        <v>195</v>
      </c>
      <c r="N8" s="142" t="s">
        <v>198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199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200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217</v>
      </c>
    </row>
    <row r="13" spans="2:20" ht="12.75">
      <c r="B13" t="s">
        <v>203</v>
      </c>
      <c r="T13" s="145" t="s">
        <v>218</v>
      </c>
    </row>
    <row r="14" spans="2:3" ht="12.75">
      <c r="B14" t="s">
        <v>204</v>
      </c>
      <c r="C14" t="s">
        <v>205</v>
      </c>
    </row>
    <row r="15" spans="4:20" ht="12.75">
      <c r="D15" s="146" t="s">
        <v>206</v>
      </c>
      <c r="T15" s="145" t="s">
        <v>219</v>
      </c>
    </row>
    <row r="16" ht="12.75">
      <c r="G16" t="s">
        <v>207</v>
      </c>
    </row>
    <row r="17" ht="12.75">
      <c r="H17" t="s">
        <v>207</v>
      </c>
    </row>
    <row r="18" ht="12.75">
      <c r="I18" t="s">
        <v>207</v>
      </c>
    </row>
    <row r="20" spans="8:15" ht="12.75">
      <c r="H20" t="s">
        <v>214</v>
      </c>
      <c r="O20" t="s">
        <v>214</v>
      </c>
    </row>
    <row r="21" spans="8:15" ht="12.75">
      <c r="H21" t="s">
        <v>216</v>
      </c>
      <c r="O21" t="s">
        <v>215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6" sqref="I26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297</v>
      </c>
      <c r="B1" s="181"/>
    </row>
    <row r="3" spans="1:7" ht="12.75">
      <c r="A3" t="s">
        <v>285</v>
      </c>
      <c r="B3" s="97" t="s">
        <v>298</v>
      </c>
      <c r="C3" t="s">
        <v>287</v>
      </c>
      <c r="D3" t="s">
        <v>300</v>
      </c>
      <c r="E3" t="s">
        <v>299</v>
      </c>
      <c r="G3" t="s">
        <v>305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284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284</v>
      </c>
    </row>
    <row r="25" spans="1:6" ht="12.75">
      <c r="A25">
        <v>23</v>
      </c>
      <c r="B25">
        <v>7.06</v>
      </c>
      <c r="C25" s="15">
        <v>700</v>
      </c>
      <c r="D25" s="185" t="s">
        <v>24</v>
      </c>
      <c r="E25">
        <v>8.06</v>
      </c>
      <c r="F25" s="193" t="s">
        <v>320</v>
      </c>
    </row>
    <row r="26" spans="1:9" ht="12.75">
      <c r="A26">
        <v>24</v>
      </c>
      <c r="B26">
        <v>12.06</v>
      </c>
      <c r="C26" s="15">
        <v>689</v>
      </c>
      <c r="D26" s="185" t="s">
        <v>24</v>
      </c>
      <c r="E26">
        <v>14.06</v>
      </c>
      <c r="F26" s="193" t="s">
        <v>350</v>
      </c>
      <c r="I26" s="222" t="s">
        <v>355</v>
      </c>
    </row>
    <row r="27" spans="1:9" ht="12.75">
      <c r="A27">
        <v>24</v>
      </c>
      <c r="B27">
        <v>16.06</v>
      </c>
      <c r="C27" s="15">
        <v>405</v>
      </c>
      <c r="D27" s="185" t="s">
        <v>24</v>
      </c>
      <c r="E27">
        <v>19.06</v>
      </c>
      <c r="F27" s="193" t="s">
        <v>350</v>
      </c>
      <c r="I27" s="222"/>
    </row>
    <row r="28" spans="1:9" ht="12.75">
      <c r="A28">
        <v>23</v>
      </c>
      <c r="B28" s="107" t="s">
        <v>328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291</v>
      </c>
      <c r="C30">
        <v>5326</v>
      </c>
      <c r="D30" s="185" t="s">
        <v>24</v>
      </c>
      <c r="E30" s="178" t="s">
        <v>290</v>
      </c>
      <c r="G30">
        <f>C30/2</f>
        <v>2663</v>
      </c>
    </row>
    <row r="32" spans="2:7" ht="12.75">
      <c r="B32" s="159" t="s">
        <v>302</v>
      </c>
      <c r="C32" s="159">
        <v>2019</v>
      </c>
      <c r="D32" s="185" t="s">
        <v>293</v>
      </c>
      <c r="G32">
        <f>C32/2</f>
        <v>1009.5</v>
      </c>
    </row>
    <row r="33" spans="1:7" ht="12.75">
      <c r="A33">
        <v>23</v>
      </c>
      <c r="B33" s="159" t="s">
        <v>291</v>
      </c>
      <c r="C33">
        <f>2019+1903+898+480+700+689+405</f>
        <v>7094</v>
      </c>
      <c r="D33" s="185" t="s">
        <v>293</v>
      </c>
      <c r="E33" s="10" t="s">
        <v>321</v>
      </c>
      <c r="G33" s="181">
        <f>C33/2</f>
        <v>3547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2"/>
  <sheetViews>
    <sheetView workbookViewId="0" topLeftCell="A16">
      <selection activeCell="K43" sqref="K4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1" t="s">
        <v>301</v>
      </c>
      <c r="I4" t="s">
        <v>305</v>
      </c>
    </row>
    <row r="11" spans="2:8" ht="12.75">
      <c r="B11" s="43" t="s">
        <v>130</v>
      </c>
      <c r="C11" s="97" t="s">
        <v>131</v>
      </c>
      <c r="D11" s="41" t="s">
        <v>132</v>
      </c>
      <c r="E11" s="41" t="s">
        <v>135</v>
      </c>
      <c r="F11" s="41" t="s">
        <v>133</v>
      </c>
      <c r="G11" s="41" t="s">
        <v>134</v>
      </c>
      <c r="H11" s="184" t="s">
        <v>285</v>
      </c>
    </row>
    <row r="12" spans="1:7" ht="12.75">
      <c r="A12" t="s">
        <v>221</v>
      </c>
      <c r="B12" s="175" t="s">
        <v>128</v>
      </c>
      <c r="C12" s="175"/>
      <c r="D12" s="175"/>
      <c r="E12" s="175"/>
      <c r="F12" s="175"/>
      <c r="G12" s="175"/>
    </row>
    <row r="13" spans="1:7" ht="12.75">
      <c r="A13">
        <f>SUM(D15:D19,D52,D63:D64)</f>
        <v>47444</v>
      </c>
      <c r="B13" s="41"/>
      <c r="C13" s="41" t="s">
        <v>140</v>
      </c>
      <c r="D13" s="41">
        <v>9300</v>
      </c>
      <c r="E13" s="41"/>
      <c r="F13" s="41">
        <v>9170</v>
      </c>
      <c r="G13" s="41"/>
    </row>
    <row r="14" spans="1:7" ht="12.75">
      <c r="A14" t="s">
        <v>222</v>
      </c>
      <c r="B14" s="41"/>
      <c r="C14" s="41"/>
      <c r="D14" s="41">
        <v>0</v>
      </c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138</v>
      </c>
      <c r="D15" s="41">
        <v>14600</v>
      </c>
      <c r="E15" s="41" t="s">
        <v>91</v>
      </c>
      <c r="F15" s="82">
        <f>2340+6000+114+7370</f>
        <v>15824</v>
      </c>
      <c r="G15" s="41" t="s">
        <v>106</v>
      </c>
      <c r="H15">
        <v>1</v>
      </c>
    </row>
    <row r="16" spans="2:8" ht="12.75">
      <c r="B16" s="41"/>
      <c r="C16" s="41"/>
      <c r="D16" s="41">
        <v>0</v>
      </c>
      <c r="E16" s="41"/>
      <c r="F16" s="82"/>
      <c r="G16" s="41"/>
      <c r="H16">
        <v>2</v>
      </c>
    </row>
    <row r="17" spans="2:8" ht="12.75">
      <c r="B17" s="41"/>
      <c r="C17" s="41"/>
      <c r="D17" s="41">
        <v>0</v>
      </c>
      <c r="E17" s="41"/>
      <c r="F17" s="82"/>
      <c r="G17" s="41"/>
      <c r="H17">
        <v>3</v>
      </c>
    </row>
    <row r="18" spans="2:8" ht="12.75">
      <c r="B18" s="41" t="s">
        <v>144</v>
      </c>
      <c r="C18" s="41" t="s">
        <v>129</v>
      </c>
      <c r="D18" s="41">
        <v>10000</v>
      </c>
      <c r="E18" s="41" t="s">
        <v>91</v>
      </c>
      <c r="F18" s="82">
        <v>10000</v>
      </c>
      <c r="G18" s="41" t="s">
        <v>106</v>
      </c>
      <c r="H18">
        <v>4</v>
      </c>
    </row>
    <row r="19" spans="2:8" ht="12.75">
      <c r="B19" s="41"/>
      <c r="C19" s="41" t="s">
        <v>141</v>
      </c>
      <c r="D19" s="41">
        <v>10740</v>
      </c>
      <c r="E19" s="41" t="s">
        <v>91</v>
      </c>
      <c r="F19" s="82"/>
      <c r="G19" s="41"/>
      <c r="H19">
        <v>5</v>
      </c>
    </row>
    <row r="20" spans="2:10" ht="12.75">
      <c r="B20" s="41" t="s">
        <v>142</v>
      </c>
      <c r="C20" s="41" t="s">
        <v>143</v>
      </c>
      <c r="D20" s="41">
        <v>11170</v>
      </c>
      <c r="E20" s="41" t="s">
        <v>91</v>
      </c>
      <c r="F20" s="82"/>
      <c r="G20" s="41"/>
      <c r="H20">
        <v>5</v>
      </c>
      <c r="J20" t="s">
        <v>158</v>
      </c>
    </row>
    <row r="21" spans="2:8" ht="12.75">
      <c r="B21" s="41"/>
      <c r="C21" s="41"/>
      <c r="D21" s="41">
        <v>0</v>
      </c>
      <c r="E21" s="41"/>
      <c r="F21" s="82"/>
      <c r="G21" s="41"/>
      <c r="H21">
        <v>6</v>
      </c>
    </row>
    <row r="22" spans="2:10" ht="12.75">
      <c r="B22" s="41" t="s">
        <v>157</v>
      </c>
      <c r="C22" s="41" t="s">
        <v>156</v>
      </c>
      <c r="D22" s="41">
        <v>12730</v>
      </c>
      <c r="E22" s="41" t="s">
        <v>91</v>
      </c>
      <c r="F22" s="82"/>
      <c r="G22" s="41"/>
      <c r="H22">
        <v>7</v>
      </c>
      <c r="J22" t="s">
        <v>159</v>
      </c>
    </row>
    <row r="23" spans="2:8" ht="12.75">
      <c r="B23" s="41"/>
      <c r="C23" s="41"/>
      <c r="D23" s="41">
        <v>0</v>
      </c>
      <c r="E23" s="41"/>
      <c r="F23" s="82"/>
      <c r="G23" s="41"/>
      <c r="H23">
        <v>8</v>
      </c>
    </row>
    <row r="24" spans="2:8" ht="12.75">
      <c r="B24" s="41" t="s">
        <v>160</v>
      </c>
      <c r="C24" s="41" t="s">
        <v>162</v>
      </c>
      <c r="D24" s="41">
        <v>15100</v>
      </c>
      <c r="E24" s="41" t="s">
        <v>91</v>
      </c>
      <c r="F24" s="82"/>
      <c r="G24" s="41"/>
      <c r="H24">
        <v>9</v>
      </c>
    </row>
    <row r="25" spans="1:11" ht="12.75">
      <c r="A25" t="s">
        <v>251</v>
      </c>
      <c r="B25" s="41" t="s">
        <v>161</v>
      </c>
      <c r="C25" s="41" t="s">
        <v>223</v>
      </c>
      <c r="D25" s="41">
        <v>13230</v>
      </c>
      <c r="E25" s="41" t="s">
        <v>91</v>
      </c>
      <c r="F25" s="82"/>
      <c r="G25" s="41"/>
      <c r="H25">
        <v>9</v>
      </c>
      <c r="K25" s="107">
        <f>SUM(D13:D39)-2220</f>
        <v>355355</v>
      </c>
    </row>
    <row r="26" spans="2:11" ht="12.75">
      <c r="B26" s="41" t="s">
        <v>224</v>
      </c>
      <c r="C26" s="41" t="s">
        <v>225</v>
      </c>
      <c r="D26" s="41">
        <v>15330</v>
      </c>
      <c r="E26" s="41" t="s">
        <v>91</v>
      </c>
      <c r="F26" s="82"/>
      <c r="G26" s="41"/>
      <c r="H26">
        <v>10</v>
      </c>
      <c r="K26" s="107">
        <f>SUM(D40:D43)</f>
        <v>49910</v>
      </c>
    </row>
    <row r="27" spans="2:11" ht="12.75">
      <c r="B27" s="41" t="s">
        <v>247</v>
      </c>
      <c r="C27" s="41" t="s">
        <v>248</v>
      </c>
      <c r="D27" s="41">
        <v>18380</v>
      </c>
      <c r="E27" s="41" t="s">
        <v>91</v>
      </c>
      <c r="F27" s="82"/>
      <c r="G27" s="41"/>
      <c r="H27">
        <v>11</v>
      </c>
      <c r="K27" s="107">
        <f>SUM(K25:K26)</f>
        <v>405265</v>
      </c>
    </row>
    <row r="28" spans="2:8" ht="12.75">
      <c r="B28" s="41" t="s">
        <v>249</v>
      </c>
      <c r="C28" s="41" t="s">
        <v>259</v>
      </c>
      <c r="D28" s="41">
        <v>25000</v>
      </c>
      <c r="E28" s="41" t="s">
        <v>24</v>
      </c>
      <c r="F28" s="82"/>
      <c r="G28" s="41"/>
      <c r="H28">
        <v>12</v>
      </c>
    </row>
    <row r="29" spans="2:8" ht="12.75">
      <c r="B29" s="41" t="s">
        <v>258</v>
      </c>
      <c r="C29" s="41" t="s">
        <v>250</v>
      </c>
      <c r="D29" s="41">
        <v>25000</v>
      </c>
      <c r="E29" s="41" t="s">
        <v>24</v>
      </c>
      <c r="F29" s="82"/>
      <c r="G29" s="41"/>
      <c r="H29">
        <v>13</v>
      </c>
    </row>
    <row r="30" spans="1:8" ht="12.75">
      <c r="A30" t="s">
        <v>271</v>
      </c>
      <c r="B30" s="41" t="s">
        <v>260</v>
      </c>
      <c r="C30" s="41" t="s">
        <v>266</v>
      </c>
      <c r="D30" s="41">
        <v>25000</v>
      </c>
      <c r="E30" s="41" t="s">
        <v>24</v>
      </c>
      <c r="F30" s="82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2"/>
      <c r="G31" s="41"/>
      <c r="H31">
        <v>15</v>
      </c>
    </row>
    <row r="32" spans="2:8" ht="12.75">
      <c r="B32" s="41" t="s">
        <v>261</v>
      </c>
      <c r="C32" s="41" t="s">
        <v>267</v>
      </c>
      <c r="D32" s="41">
        <v>23075</v>
      </c>
      <c r="E32" s="41" t="s">
        <v>24</v>
      </c>
      <c r="F32" s="82"/>
      <c r="G32" s="41"/>
      <c r="H32">
        <v>16</v>
      </c>
    </row>
    <row r="33" spans="2:8" ht="12.75">
      <c r="B33" s="41" t="s">
        <v>264</v>
      </c>
      <c r="C33" s="41" t="s">
        <v>265</v>
      </c>
      <c r="D33" s="41">
        <v>21760</v>
      </c>
      <c r="E33" s="41" t="s">
        <v>24</v>
      </c>
      <c r="F33" s="82"/>
      <c r="G33" s="41"/>
      <c r="H33">
        <v>17</v>
      </c>
    </row>
    <row r="34" spans="1:8" ht="12.75">
      <c r="A34" t="s">
        <v>272</v>
      </c>
      <c r="B34" s="41" t="s">
        <v>269</v>
      </c>
      <c r="C34" s="41" t="s">
        <v>270</v>
      </c>
      <c r="D34" s="41">
        <v>25000</v>
      </c>
      <c r="E34" s="41" t="s">
        <v>24</v>
      </c>
      <c r="F34" s="82"/>
      <c r="G34" s="41"/>
      <c r="H34">
        <v>18</v>
      </c>
    </row>
    <row r="35" spans="2:8" ht="12.75">
      <c r="B35" s="41" t="s">
        <v>275</v>
      </c>
      <c r="C35" s="41" t="s">
        <v>276</v>
      </c>
      <c r="D35" s="41">
        <v>25000</v>
      </c>
      <c r="E35" s="41" t="s">
        <v>24</v>
      </c>
      <c r="F35" s="82"/>
      <c r="G35" s="41" t="s">
        <v>280</v>
      </c>
      <c r="H35">
        <v>19</v>
      </c>
    </row>
    <row r="36" spans="2:8" ht="12.75">
      <c r="B36" s="178" t="s">
        <v>277</v>
      </c>
      <c r="C36" s="41" t="s">
        <v>278</v>
      </c>
      <c r="D36" s="178">
        <v>25000</v>
      </c>
      <c r="E36" s="41" t="s">
        <v>24</v>
      </c>
      <c r="F36" s="178" t="s">
        <v>284</v>
      </c>
      <c r="G36" s="41" t="s">
        <v>279</v>
      </c>
      <c r="H36">
        <v>20</v>
      </c>
    </row>
    <row r="37" spans="2:8" ht="12.75">
      <c r="B37" s="178"/>
      <c r="C37" s="41"/>
      <c r="D37" s="178">
        <v>0</v>
      </c>
      <c r="E37" s="41"/>
      <c r="F37" s="178"/>
      <c r="G37" s="41"/>
      <c r="H37">
        <v>21</v>
      </c>
    </row>
    <row r="38" spans="2:8" ht="12.75">
      <c r="B38" s="178" t="s">
        <v>281</v>
      </c>
      <c r="C38" s="41" t="s">
        <v>282</v>
      </c>
      <c r="D38" s="178">
        <v>20160</v>
      </c>
      <c r="E38" s="41" t="s">
        <v>24</v>
      </c>
      <c r="F38" s="178" t="s">
        <v>284</v>
      </c>
      <c r="G38" s="41" t="s">
        <v>283</v>
      </c>
      <c r="H38">
        <v>22</v>
      </c>
    </row>
    <row r="39" spans="2:8" ht="12.75">
      <c r="B39" s="178" t="s">
        <v>329</v>
      </c>
      <c r="C39" s="41" t="s">
        <v>282</v>
      </c>
      <c r="D39" s="178">
        <v>12000</v>
      </c>
      <c r="E39" s="41" t="s">
        <v>24</v>
      </c>
      <c r="F39" s="178" t="s">
        <v>284</v>
      </c>
      <c r="G39" s="41" t="s">
        <v>283</v>
      </c>
      <c r="H39" s="15">
        <v>22</v>
      </c>
    </row>
    <row r="40" spans="2:8" ht="12.75">
      <c r="B40" s="82" t="s">
        <v>330</v>
      </c>
      <c r="C40" s="41" t="s">
        <v>331</v>
      </c>
      <c r="D40" s="183">
        <v>15250</v>
      </c>
      <c r="E40" s="41" t="s">
        <v>24</v>
      </c>
      <c r="F40" s="200" t="s">
        <v>320</v>
      </c>
      <c r="G40" s="41" t="s">
        <v>332</v>
      </c>
      <c r="H40">
        <v>23</v>
      </c>
    </row>
    <row r="41" spans="2:8" ht="12.75">
      <c r="B41" s="82" t="s">
        <v>333</v>
      </c>
      <c r="C41" s="41" t="s">
        <v>331</v>
      </c>
      <c r="D41" s="183">
        <v>9660</v>
      </c>
      <c r="E41" s="41" t="s">
        <v>24</v>
      </c>
      <c r="F41" s="200" t="s">
        <v>320</v>
      </c>
      <c r="G41" s="41" t="s">
        <v>332</v>
      </c>
      <c r="H41">
        <v>23</v>
      </c>
    </row>
    <row r="42" spans="2:8" ht="12.75">
      <c r="B42" s="82" t="s">
        <v>351</v>
      </c>
      <c r="C42" s="41" t="s">
        <v>352</v>
      </c>
      <c r="D42" s="183">
        <v>12400</v>
      </c>
      <c r="E42" s="41" t="s">
        <v>24</v>
      </c>
      <c r="F42" s="200" t="s">
        <v>320</v>
      </c>
      <c r="G42" s="41" t="s">
        <v>353</v>
      </c>
      <c r="H42">
        <v>24</v>
      </c>
    </row>
    <row r="43" spans="2:11" ht="12.75">
      <c r="B43" s="82" t="s">
        <v>354</v>
      </c>
      <c r="C43" s="41" t="s">
        <v>352</v>
      </c>
      <c r="D43" s="183">
        <v>12600</v>
      </c>
      <c r="E43" s="41" t="s">
        <v>24</v>
      </c>
      <c r="F43" s="200" t="s">
        <v>320</v>
      </c>
      <c r="G43" s="41" t="s">
        <v>353</v>
      </c>
      <c r="H43">
        <v>24</v>
      </c>
      <c r="K43" s="222" t="s">
        <v>355</v>
      </c>
    </row>
    <row r="44" spans="2:11" ht="12.75">
      <c r="B44" s="107" t="s">
        <v>268</v>
      </c>
      <c r="C44" s="107"/>
      <c r="D44" s="107">
        <f>SUM(D13:D43)</f>
        <v>407485</v>
      </c>
      <c r="E44" s="41" t="s">
        <v>24</v>
      </c>
      <c r="F44" s="82"/>
      <c r="G44" s="41">
        <v>9.06</v>
      </c>
      <c r="H44">
        <v>23</v>
      </c>
      <c r="I44" s="206">
        <f>D44/183</f>
        <v>2226.6939890710382</v>
      </c>
      <c r="K44" s="222">
        <f>SUM(D36:D43)</f>
        <v>107070</v>
      </c>
    </row>
    <row r="45" spans="1:7" ht="12.75">
      <c r="A45" t="s">
        <v>289</v>
      </c>
      <c r="B45" s="180"/>
      <c r="C45" s="180"/>
      <c r="D45" s="180"/>
      <c r="E45" s="41"/>
      <c r="F45" s="82"/>
      <c r="G45" s="41"/>
    </row>
    <row r="46" spans="2:7" s="15" customFormat="1" ht="12.75">
      <c r="B46" s="180"/>
      <c r="C46" s="180"/>
      <c r="D46" s="180"/>
      <c r="E46" s="82"/>
      <c r="F46" s="82"/>
      <c r="G46" s="82"/>
    </row>
    <row r="47" spans="2:9" ht="12.75">
      <c r="B47" s="174" t="s">
        <v>291</v>
      </c>
      <c r="C47" s="174"/>
      <c r="D47" s="180">
        <v>347244</v>
      </c>
      <c r="E47" s="41" t="s">
        <v>24</v>
      </c>
      <c r="F47" s="178" t="s">
        <v>290</v>
      </c>
      <c r="G47" s="41"/>
      <c r="I47" s="191">
        <f>D47/183</f>
        <v>1897.5081967213114</v>
      </c>
    </row>
    <row r="48" spans="2:9" ht="12.75">
      <c r="B48" s="174" t="s">
        <v>291</v>
      </c>
      <c r="C48" s="174" t="s">
        <v>276</v>
      </c>
      <c r="D48" s="174">
        <v>169859</v>
      </c>
      <c r="E48" s="41" t="s">
        <v>293</v>
      </c>
      <c r="F48" s="82"/>
      <c r="G48" s="82"/>
      <c r="I48" s="191">
        <f>D48/183</f>
        <v>928.1912568306011</v>
      </c>
    </row>
    <row r="49" spans="2:9" ht="12.75">
      <c r="B49" s="174" t="s">
        <v>291</v>
      </c>
      <c r="C49" s="174"/>
      <c r="D49" s="201">
        <f>346854+9660+15250+12400+12600</f>
        <v>396764</v>
      </c>
      <c r="E49" s="41" t="s">
        <v>293</v>
      </c>
      <c r="F49" s="178" t="s">
        <v>321</v>
      </c>
      <c r="G49" s="82"/>
      <c r="I49" s="192">
        <f>D49/183</f>
        <v>2168.1092896174864</v>
      </c>
    </row>
    <row r="50" spans="2:7" s="15" customFormat="1" ht="12.75">
      <c r="B50" s="180"/>
      <c r="C50" s="180"/>
      <c r="D50" s="180"/>
      <c r="E50" s="82"/>
      <c r="F50" s="82"/>
      <c r="G50" s="82"/>
    </row>
    <row r="51" spans="2:7" ht="12.75">
      <c r="B51" s="175" t="s">
        <v>136</v>
      </c>
      <c r="C51" s="175"/>
      <c r="D51" s="175"/>
      <c r="E51" s="175"/>
      <c r="F51" s="175"/>
      <c r="G51" s="175"/>
    </row>
    <row r="52" spans="2:7" ht="12.75">
      <c r="B52" s="41"/>
      <c r="C52" s="41" t="s">
        <v>138</v>
      </c>
      <c r="D52" s="41">
        <v>948</v>
      </c>
      <c r="E52" s="41" t="s">
        <v>91</v>
      </c>
      <c r="F52" s="82">
        <v>941</v>
      </c>
      <c r="G52" s="41" t="s">
        <v>106</v>
      </c>
    </row>
    <row r="53" spans="2:7" ht="12.75">
      <c r="B53" s="41"/>
      <c r="C53" s="41"/>
      <c r="D53" s="41"/>
      <c r="E53" s="41"/>
      <c r="F53" s="41"/>
      <c r="G53" s="41"/>
    </row>
    <row r="54" spans="2:7" ht="12.75">
      <c r="B54" s="41"/>
      <c r="C54" s="41"/>
      <c r="D54" s="41"/>
      <c r="E54" s="41"/>
      <c r="F54" s="41"/>
      <c r="G54" s="41"/>
    </row>
    <row r="55" spans="2:7" ht="12.75">
      <c r="B55" s="41"/>
      <c r="C55" s="41"/>
      <c r="D55" s="41"/>
      <c r="E55" s="41"/>
      <c r="F55" s="41"/>
      <c r="G55" s="41"/>
    </row>
    <row r="56" spans="2:7" ht="12.75">
      <c r="B56" s="41"/>
      <c r="C56" s="41"/>
      <c r="D56" s="41"/>
      <c r="E56" s="41"/>
      <c r="F56" s="41"/>
      <c r="G56" s="41"/>
    </row>
    <row r="57" spans="2:7" ht="12.75">
      <c r="B57" s="41"/>
      <c r="C57" s="41"/>
      <c r="D57" s="41"/>
      <c r="E57" s="41"/>
      <c r="F57" s="41"/>
      <c r="G57" s="41"/>
    </row>
    <row r="58" spans="2:7" ht="12.75">
      <c r="B58" s="175" t="s">
        <v>137</v>
      </c>
      <c r="C58" s="175"/>
      <c r="D58" s="175"/>
      <c r="E58" s="175"/>
      <c r="F58" s="175"/>
      <c r="G58" s="175"/>
    </row>
    <row r="59" spans="2:7" ht="12.75">
      <c r="B59" s="41"/>
      <c r="C59" s="41" t="s">
        <v>140</v>
      </c>
      <c r="D59" s="41">
        <v>300</v>
      </c>
      <c r="E59" s="41"/>
      <c r="F59" s="41">
        <v>305</v>
      </c>
      <c r="G59" s="41"/>
    </row>
    <row r="60" spans="2:7" ht="12.75">
      <c r="B60" s="41"/>
      <c r="C60" s="41"/>
      <c r="D60" s="41"/>
      <c r="E60" s="41"/>
      <c r="F60" s="41">
        <v>93</v>
      </c>
      <c r="G60" s="41"/>
    </row>
    <row r="61" spans="2:7" ht="12.75">
      <c r="B61" s="41"/>
      <c r="C61" s="41"/>
      <c r="D61" s="41"/>
      <c r="E61" s="41"/>
      <c r="F61" s="41"/>
      <c r="G61" s="41"/>
    </row>
    <row r="62" spans="2:7" ht="12.75">
      <c r="B62" s="41"/>
      <c r="C62" s="41"/>
      <c r="D62" s="41"/>
      <c r="E62" s="41"/>
      <c r="F62" s="41"/>
      <c r="G62" s="41"/>
    </row>
    <row r="63" spans="2:7" ht="12.75">
      <c r="B63" s="41"/>
      <c r="C63" s="41" t="s">
        <v>139</v>
      </c>
      <c r="D63" s="41">
        <v>606</v>
      </c>
      <c r="E63" s="41" t="s">
        <v>91</v>
      </c>
      <c r="F63" s="82"/>
      <c r="G63" s="41"/>
    </row>
    <row r="64" spans="2:7" ht="12.75">
      <c r="B64" s="41" t="s">
        <v>144</v>
      </c>
      <c r="C64" s="41" t="s">
        <v>129</v>
      </c>
      <c r="D64" s="41">
        <v>10550</v>
      </c>
      <c r="E64" s="41" t="s">
        <v>91</v>
      </c>
      <c r="F64" s="82"/>
      <c r="G64" s="41"/>
    </row>
    <row r="65" spans="2:7" ht="12.75">
      <c r="B65" s="81" t="s">
        <v>292</v>
      </c>
      <c r="C65" s="81"/>
      <c r="D65" s="81">
        <v>10550</v>
      </c>
      <c r="E65" s="41"/>
      <c r="F65" s="41"/>
      <c r="G65" s="41"/>
    </row>
    <row r="66" spans="2:7" ht="12.75">
      <c r="B66" s="82"/>
      <c r="C66" s="82"/>
      <c r="D66" s="82"/>
      <c r="E66" s="41"/>
      <c r="F66" s="41"/>
      <c r="G66" s="41"/>
    </row>
    <row r="67" spans="2:9" ht="12.75">
      <c r="B67" s="174" t="s">
        <v>291</v>
      </c>
      <c r="C67" s="174"/>
      <c r="D67" s="174">
        <v>10625</v>
      </c>
      <c r="E67" s="41" t="s">
        <v>24</v>
      </c>
      <c r="F67" s="82"/>
      <c r="G67" s="41"/>
      <c r="I67" s="191">
        <f>D67/6</f>
        <v>1770.8333333333333</v>
      </c>
    </row>
    <row r="68" spans="2:9" ht="12.75">
      <c r="B68" s="174" t="s">
        <v>291</v>
      </c>
      <c r="C68" s="174"/>
      <c r="D68" s="174">
        <v>10604</v>
      </c>
      <c r="E68" s="41" t="s">
        <v>293</v>
      </c>
      <c r="F68" s="82"/>
      <c r="G68" s="41"/>
      <c r="I68" s="192">
        <f>D68/6</f>
        <v>1767.3333333333333</v>
      </c>
    </row>
    <row r="69" spans="2:7" ht="12.75">
      <c r="B69" s="41"/>
      <c r="C69" s="41"/>
      <c r="D69" s="41"/>
      <c r="E69" s="41"/>
      <c r="F69" s="41"/>
      <c r="G69" s="41"/>
    </row>
    <row r="70" spans="2:7" ht="12.75">
      <c r="B70" s="41"/>
      <c r="C70" s="41"/>
      <c r="D70" s="41"/>
      <c r="E70" s="41"/>
      <c r="F70" s="41"/>
      <c r="G70" s="41"/>
    </row>
    <row r="71" spans="2:7" ht="12.75">
      <c r="B71" s="41"/>
      <c r="C71" s="41"/>
      <c r="D71" s="41"/>
      <c r="E71" s="41"/>
      <c r="F71" s="41"/>
      <c r="G71" s="41"/>
    </row>
    <row r="72" spans="2:7" ht="12.75">
      <c r="B72" s="41"/>
      <c r="C72" s="41"/>
      <c r="D72" s="41"/>
      <c r="E72" s="41"/>
      <c r="F72" s="41"/>
      <c r="G72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2006-06-21T06:33:30Z</cp:lastPrinted>
  <dcterms:created xsi:type="dcterms:W3CDTF">2005-04-30T08:59:53Z</dcterms:created>
  <dcterms:modified xsi:type="dcterms:W3CDTF">2006-06-21T15:49:59Z</dcterms:modified>
  <cp:category/>
  <cp:version/>
  <cp:contentType/>
  <cp:contentStatus/>
</cp:coreProperties>
</file>