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3140" windowHeight="9525" activeTab="4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'Tighteners'!$A$1:$Q$46</definedName>
    <definedName name="Z_1E92D746_8DA4_46FE_A015_5B53E5097C4F_.wvu.PrintArea" localSheetId="1" hidden="1">'Tighteners'!$A$1:$Q$46</definedName>
    <definedName name="Z_63DF7B8E_55FC_4540_9521_9B1B7D3BF258_.wvu.PrintArea" localSheetId="0" hidden="1">'BLM chambers '!$A$1:$AN$50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sharedStrings.xml><?xml version="1.0" encoding="utf-8"?>
<sst xmlns="http://schemas.openxmlformats.org/spreadsheetml/2006/main" count="815" uniqueCount="443">
  <si>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</si>
  <si>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</si>
  <si>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</si>
  <si>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</si>
  <si>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</si>
  <si>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</si>
  <si>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</si>
  <si>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</si>
  <si>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</si>
  <si>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</si>
  <si>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</si>
  <si>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</si>
  <si>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</si>
  <si>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</si>
  <si>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</si>
  <si>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</si>
  <si>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</si>
  <si>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</si>
  <si>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</si>
  <si>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</si>
  <si>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</si>
  <si>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</si>
  <si>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</si>
  <si>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</si>
  <si>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</si>
  <si>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</si>
  <si>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</si>
  <si>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</si>
  <si>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</si>
  <si>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</si>
  <si>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</si>
  <si>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</si>
  <si>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</si>
  <si>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</si>
  <si>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</si>
  <si>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</si>
  <si>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</si>
  <si>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</si>
  <si>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</si>
  <si>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</si>
  <si>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</si>
  <si>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</si>
  <si>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</si>
  <si>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</si>
  <si>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</si>
  <si>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</si>
  <si>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</si>
  <si>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</si>
  <si>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</si>
  <si>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</si>
  <si>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</si>
  <si>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</si>
  <si>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</si>
  <si>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</si>
  <si>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</si>
  <si>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</si>
  <si>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</si>
  <si>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</si>
  <si>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</si>
  <si>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</si>
  <si>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</si>
  <si>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</si>
  <si>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</si>
  <si>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</si>
  <si>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</si>
  <si>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</si>
  <si>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</si>
  <si>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</si>
  <si>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</si>
  <si>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</si>
  <si>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</si>
  <si>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</si>
  <si>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</si>
  <si>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</si>
  <si>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</si>
  <si>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</si>
  <si>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</si>
  <si>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</si>
  <si>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</si>
  <si>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</si>
  <si>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</si>
  <si>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</si>
  <si>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</si>
  <si>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</si>
  <si>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</si>
  <si>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</si>
  <si>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</si>
  <si>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</si>
  <si>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</si>
  <si>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</si>
  <si>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</si>
  <si>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</si>
  <si>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</si>
  <si>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</si>
  <si>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</si>
  <si>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</si>
  <si>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</si>
  <si>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</si>
  <si>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</si>
  <si>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</si>
  <si>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</si>
  <si>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</si>
  <si>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</si>
  <si>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</si>
  <si>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</si>
  <si>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</si>
  <si>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</si>
  <si>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</si>
  <si>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</si>
  <si>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</si>
  <si>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</si>
  <si>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</si>
  <si>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</si>
  <si>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</si>
  <si>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</si>
  <si>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</si>
  <si>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</si>
  <si>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</si>
  <si>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</si>
  <si>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</si>
  <si>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</si>
  <si>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</si>
  <si>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</si>
  <si>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</si>
  <si>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</si>
  <si>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</si>
  <si>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</si>
  <si>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</si>
  <si>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</si>
  <si>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</si>
  <si>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</si>
  <si>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</si>
  <si>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</si>
  <si>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</si>
  <si>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</si>
  <si>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</si>
  <si>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</si>
  <si>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</si>
  <si>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</si>
  <si>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</si>
  <si>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</si>
  <si>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</si>
  <si>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</si>
  <si>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</si>
  <si>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</si>
  <si>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</si>
  <si>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</si>
  <si>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</si>
  <si>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</si>
  <si>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</si>
  <si>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</si>
  <si>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</si>
  <si>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</si>
  <si>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</si>
  <si>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</si>
  <si>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</si>
  <si>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</si>
  <si>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</si>
  <si>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</si>
  <si>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</si>
  <si>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</si>
  <si>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</si>
  <si>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</si>
  <si>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</si>
  <si>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</si>
  <si>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</si>
  <si>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</si>
  <si>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</si>
  <si>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</si>
  <si>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</si>
  <si>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</si>
  <si>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</si>
  <si>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</si>
  <si>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</si>
  <si>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</si>
  <si>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</si>
  <si>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</si>
  <si>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</si>
  <si>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</si>
  <si>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</si>
  <si>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</si>
  <si>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</si>
  <si>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</si>
  <si>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</si>
  <si>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</si>
  <si>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</si>
  <si>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</si>
  <si>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</si>
  <si>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</si>
  <si>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</si>
  <si>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</si>
  <si>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</si>
  <si>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</si>
  <si>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</si>
  <si>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</si>
  <si>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</si>
  <si>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</si>
  <si>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</si>
  <si>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</si>
  <si>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</si>
  <si>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</si>
  <si>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</si>
  <si>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</si>
  <si>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</si>
  <si>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</si>
  <si>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</si>
  <si>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</si>
  <si>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</si>
  <si>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</si>
  <si>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</si>
  <si>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</si>
  <si>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</si>
  <si>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</si>
  <si>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</si>
  <si>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</si>
  <si>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</si>
  <si>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</si>
  <si>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</si>
  <si>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</si>
  <si>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</si>
  <si>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</si>
  <si>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</si>
  <si>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</si>
  <si>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</si>
  <si>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</si>
  <si>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</si>
  <si>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</si>
  <si>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</si>
  <si>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</si>
  <si>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</si>
  <si>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</si>
  <si>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</si>
  <si>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</si>
  <si>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</si>
  <si>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</si>
  <si>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</si>
  <si>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</si>
  <si>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</si>
  <si>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</si>
  <si>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</si>
  <si>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</si>
  <si>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</si>
  <si>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</si>
  <si>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</si>
  <si>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</si>
  <si>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</si>
  <si>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</si>
  <si>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</si>
  <si>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</si>
  <si>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</si>
  <si>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</si>
  <si>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</si>
  <si>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</si>
  <si>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</si>
  <si>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</si>
  <si>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</si>
  <si>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</si>
  <si>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</si>
  <si>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</si>
  <si>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</si>
  <si>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</si>
  <si>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</si>
  <si>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</si>
  <si>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</si>
  <si>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</si>
  <si>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</si>
  <si>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</si>
  <si>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</si>
  <si>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</si>
  <si>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</si>
  <si>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</si>
  <si>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</si>
  <si>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</si>
  <si>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</si>
  <si>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</si>
  <si>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</si>
  <si>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</si>
  <si>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</si>
  <si>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</si>
  <si>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</si>
  <si>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</si>
  <si>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</si>
  <si>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</si>
  <si>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</si>
  <si>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</si>
  <si>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</si>
  <si>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</si>
  <si>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</si>
  <si>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</si>
  <si>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</si>
  <si>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</si>
  <si>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</si>
  <si>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</si>
  <si>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</si>
  <si>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</si>
  <si>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</si>
  <si>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</si>
  <si>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</si>
  <si>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</si>
  <si>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</si>
  <si>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</si>
  <si>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</si>
  <si>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</si>
  <si>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</si>
  <si>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</si>
  <si>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</si>
  <si>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</si>
  <si>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</si>
  <si>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</si>
  <si>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</si>
  <si>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</si>
  <si>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</si>
  <si>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</si>
  <si>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</si>
  <si>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</si>
  <si>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</si>
  <si>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</si>
  <si>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</si>
  <si>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</si>
  <si>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</si>
  <si>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</si>
  <si>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</si>
  <si>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</si>
  <si>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</si>
  <si>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</si>
  <si>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</si>
  <si>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</si>
  <si>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</si>
  <si>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</si>
  <si>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</si>
  <si>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</si>
  <si>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</si>
  <si>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</si>
  <si>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</si>
  <si>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</si>
  <si>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</si>
  <si>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</si>
  <si>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</si>
  <si>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</si>
  <si>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</si>
  <si>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</si>
  <si>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</si>
  <si>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</si>
  <si>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</si>
  <si>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</si>
  <si>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</si>
  <si>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</si>
  <si>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</si>
  <si>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</si>
  <si>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</si>
  <si>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</si>
  <si>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</si>
  <si>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</si>
  <si>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</si>
  <si>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</si>
  <si>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</si>
  <si>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</si>
  <si>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</si>
  <si>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</si>
  <si>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</si>
  <si>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</si>
  <si>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</si>
  <si>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</si>
  <si>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</si>
  <si>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200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</si>
  <si>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</si>
  <si>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</si>
  <si>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</si>
  <si>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</si>
  <si>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</si>
  <si>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</si>
  <si>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</si>
  <si>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</si>
  <si>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</si>
  <si>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</si>
  <si>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</si>
  <si>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</si>
  <si>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</si>
  <si>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</si>
  <si>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</si>
  <si>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</si>
  <si>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</si>
  <si>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</si>
  <si>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</si>
  <si>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</si>
  <si>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</si>
  <si>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</si>
  <si>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</si>
  <si>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</si>
  <si>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</si>
  <si>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</si>
  <si>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</si>
  <si>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</si>
  <si>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</si>
  <si>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</si>
  <si>
    <t>In Protvino(29.06)</t>
  </si>
  <si>
    <t>Pcs</t>
  </si>
  <si>
    <t>IC</t>
  </si>
  <si>
    <t>Mishas counting plus LZ  and LS</t>
  </si>
  <si>
    <t>30.6.2006</t>
  </si>
  <si>
    <t>tel convers with Mr.. Gagau</t>
  </si>
  <si>
    <t>they have received the new contract and will deliver before 21.7.</t>
  </si>
  <si>
    <t>from 21.7. holidays for 3 weeks</t>
  </si>
  <si>
    <t>28th</t>
  </si>
  <si>
    <t>03.07.2006 -arrived</t>
  </si>
  <si>
    <t>29.06.2006</t>
  </si>
  <si>
    <t>29th</t>
  </si>
  <si>
    <t>10.07.2006</t>
  </si>
  <si>
    <t>10.07.2006-arrived</t>
  </si>
  <si>
    <t>July:</t>
  </si>
  <si>
    <t xml:space="preserve">Summary </t>
  </si>
  <si>
    <t>31th</t>
  </si>
  <si>
    <t>17.07.2006</t>
  </si>
  <si>
    <t>17.07.2006-arrived</t>
  </si>
  <si>
    <t>29th (+30th)</t>
  </si>
  <si>
    <t>Mishas counting in Protvino (up to sh 8)</t>
  </si>
  <si>
    <t>Mishas counting in Protvino(upto sh8)</t>
  </si>
  <si>
    <t>32 th</t>
  </si>
  <si>
    <t>25.07.2006</t>
  </si>
  <si>
    <t>28.07.2006-arrived</t>
  </si>
  <si>
    <t>32th</t>
  </si>
  <si>
    <t>ordered first contract</t>
  </si>
  <si>
    <t>ordered second contrat</t>
  </si>
  <si>
    <t>total ordered</t>
  </si>
  <si>
    <t>total needed</t>
  </si>
  <si>
    <t>total delivered</t>
  </si>
  <si>
    <t>missing</t>
  </si>
  <si>
    <t>(or 3500 ?)</t>
  </si>
  <si>
    <t>33 th</t>
  </si>
  <si>
    <t>5.8.2006</t>
  </si>
  <si>
    <t>10.08.2006</t>
  </si>
  <si>
    <t>34 th</t>
  </si>
  <si>
    <t>14.8.2006</t>
  </si>
  <si>
    <t>15.8.2006</t>
  </si>
  <si>
    <t>Slava/EBH</t>
  </si>
  <si>
    <t>35 th</t>
  </si>
  <si>
    <t>22.8.2006</t>
  </si>
  <si>
    <t>21.8.2006</t>
  </si>
  <si>
    <t>36th</t>
  </si>
  <si>
    <t>04.09.2006</t>
  </si>
  <si>
    <t>28.8.2006</t>
  </si>
  <si>
    <t>37th</t>
  </si>
  <si>
    <t>11.09.2006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</si>
</sst>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/>
    </xf>
    <xf numFmtId="1" fontId="0" fillId="7" borderId="2" xfId="0" applyNumberFormat="1" applyFont="1" applyFill="1" applyBorder="1" applyAlignment="1">
      <alignment horizontal="center"/>
    </xf>
    <xf numFmtId="1" fontId="0" fillId="11" borderId="2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1" fontId="0" fillId="11" borderId="2" xfId="0" applyNumberFormat="1" applyFont="1" applyFill="1" applyBorder="1" applyAlignment="1">
      <alignment horizontal="center"/>
    </xf>
    <xf numFmtId="192" fontId="0" fillId="7" borderId="2" xfId="0" applyNumberFormat="1" applyFill="1" applyBorder="1" applyAlignment="1">
      <alignment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workbookViewId="0" topLeftCell="A1">
      <pane xSplit="3" topLeftCell="AI1" activePane="topRight" state="frozen"/>
      <selection pane="topLeft" activeCell="A1" sqref="A1"/>
      <selection pane="topRight" activeCell="AM13" sqref="AM13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335</v>
      </c>
      <c r="K1" s="154" t="s">
        <v>330</v>
      </c>
      <c r="L1" s="189" t="s">
        <v>4</v>
      </c>
      <c r="M1" s="33" t="s">
        <v>29</v>
      </c>
      <c r="N1" s="38" t="s">
        <v>122</v>
      </c>
      <c r="O1" s="187" t="s">
        <v>331</v>
      </c>
      <c r="P1" s="33" t="s">
        <v>30</v>
      </c>
      <c r="Q1" s="156" t="s">
        <v>332</v>
      </c>
      <c r="R1" s="33" t="s">
        <v>225</v>
      </c>
      <c r="S1" s="40" t="s">
        <v>16</v>
      </c>
      <c r="T1" s="40" t="s">
        <v>28</v>
      </c>
      <c r="U1" s="39" t="s">
        <v>118</v>
      </c>
      <c r="V1" s="156" t="s">
        <v>226</v>
      </c>
      <c r="W1" s="156" t="s">
        <v>162</v>
      </c>
      <c r="X1" s="165" t="s">
        <v>117</v>
      </c>
      <c r="Y1" s="165" t="s">
        <v>245</v>
      </c>
      <c r="Z1" s="165" t="s">
        <v>415</v>
      </c>
      <c r="AA1" s="216" t="s">
        <v>398</v>
      </c>
      <c r="AB1" s="166" t="s">
        <v>379</v>
      </c>
      <c r="AC1" s="166" t="s">
        <v>380</v>
      </c>
      <c r="AD1" s="217" t="s">
        <v>360</v>
      </c>
      <c r="AE1" s="229" t="s">
        <v>375</v>
      </c>
      <c r="AF1" s="229" t="s">
        <v>376</v>
      </c>
      <c r="AG1" s="166" t="s">
        <v>378</v>
      </c>
      <c r="AH1" s="165" t="s">
        <v>353</v>
      </c>
      <c r="AI1" s="166" t="s">
        <v>355</v>
      </c>
      <c r="AJ1" s="209" t="s">
        <v>338</v>
      </c>
      <c r="AK1" s="231" t="s">
        <v>352</v>
      </c>
      <c r="AL1" s="41"/>
      <c r="AM1" s="254" t="s">
        <v>384</v>
      </c>
      <c r="AR1" s="8"/>
      <c r="AS1" s="8"/>
    </row>
    <row r="2" spans="1:39" ht="12.75">
      <c r="A2" s="41" t="s">
        <v>345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359</v>
      </c>
      <c r="AA2" s="52"/>
      <c r="AB2" s="53"/>
      <c r="AC2" s="53"/>
      <c r="AD2" s="220" t="s">
        <v>358</v>
      </c>
      <c r="AE2" s="230"/>
      <c r="AF2" s="230"/>
      <c r="AG2" s="220" t="s">
        <v>358</v>
      </c>
      <c r="AH2" s="88"/>
      <c r="AI2" s="53" t="s">
        <v>41</v>
      </c>
      <c r="AJ2" s="88"/>
      <c r="AK2" s="232"/>
      <c r="AL2" s="247" t="s">
        <v>381</v>
      </c>
      <c r="AM2" s="252" t="s">
        <v>394</v>
      </c>
    </row>
    <row r="3" spans="1:39" ht="12.75">
      <c r="A3" s="170" t="s">
        <v>323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361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272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144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308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163</v>
      </c>
      <c r="X6" s="162">
        <v>1394</v>
      </c>
      <c r="Y6" s="162">
        <f>W6+X6</f>
        <v>3773</v>
      </c>
      <c r="Z6" s="249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145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260">
        <v>203</v>
      </c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146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314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164</v>
      </c>
      <c r="X8" s="162">
        <v>1500</v>
      </c>
      <c r="Y8" s="162">
        <f>W8+X8</f>
        <v>3818</v>
      </c>
      <c r="Z8" s="249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260">
        <v>207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-665</v>
      </c>
      <c r="AJ8" s="88">
        <f>J8-AA8</f>
        <v>661</v>
      </c>
      <c r="AK8" s="235" t="s">
        <v>343</v>
      </c>
      <c r="AL8" s="243">
        <f t="shared" si="4"/>
        <v>-4</v>
      </c>
      <c r="AM8" s="183"/>
    </row>
    <row r="9" spans="1:39" ht="12.75">
      <c r="A9" s="74" t="s">
        <v>147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8691</v>
      </c>
      <c r="Q9" s="51" t="s">
        <v>311</v>
      </c>
      <c r="R9" s="171">
        <f t="shared" si="0"/>
        <v>81</v>
      </c>
      <c r="S9" s="50"/>
      <c r="T9" s="50" t="s">
        <v>24</v>
      </c>
      <c r="U9" s="93"/>
      <c r="V9" s="157" t="s">
        <v>228</v>
      </c>
      <c r="W9" s="162">
        <f>2029+898+480</f>
        <v>3407</v>
      </c>
      <c r="X9" s="162">
        <v>0</v>
      </c>
      <c r="Y9" s="162">
        <f>V9+W9+X9+1909</f>
        <v>5326</v>
      </c>
      <c r="Z9" s="249">
        <v>5284</v>
      </c>
      <c r="AA9" s="162">
        <f>Z9+AE9+AF9+AG9</f>
        <v>11354</v>
      </c>
      <c r="AB9" s="147">
        <f>Y9-J9</f>
        <v>-3284</v>
      </c>
      <c r="AC9" s="147">
        <f>Y9-K9</f>
        <v>-3284</v>
      </c>
      <c r="AD9" s="260">
        <v>2789</v>
      </c>
      <c r="AE9" s="91">
        <v>1903</v>
      </c>
      <c r="AF9" s="91">
        <v>1378</v>
      </c>
      <c r="AG9" s="91">
        <f>AD9</f>
        <v>2789</v>
      </c>
      <c r="AH9" s="173">
        <f t="shared" si="1"/>
        <v>5452</v>
      </c>
      <c r="AI9" s="147">
        <f>AD9+AB9</f>
        <v>-495</v>
      </c>
      <c r="AJ9" s="88">
        <f>J9-AA9</f>
        <v>-2744</v>
      </c>
      <c r="AK9" s="235" t="s">
        <v>344</v>
      </c>
      <c r="AL9" s="243">
        <f t="shared" si="4"/>
        <v>-3239</v>
      </c>
      <c r="AM9" s="106">
        <v>1550</v>
      </c>
    </row>
    <row r="10" spans="1:40" s="15" customFormat="1" ht="12.75">
      <c r="A10" s="99" t="s">
        <v>148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149</v>
      </c>
      <c r="B11" s="59" t="s">
        <v>57</v>
      </c>
      <c r="C11" s="59" t="s">
        <v>240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299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232</v>
      </c>
      <c r="W11" s="157" t="s">
        <v>299</v>
      </c>
      <c r="X11" s="163">
        <v>0</v>
      </c>
      <c r="Y11" s="162">
        <f>V11+W11+X11</f>
        <v>207126</v>
      </c>
      <c r="Z11" s="249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260">
        <v>3273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-52206</v>
      </c>
      <c r="AJ11" s="88">
        <f>J11-AA11</f>
        <v>53242</v>
      </c>
      <c r="AK11" s="235"/>
      <c r="AL11" s="246">
        <f t="shared" si="4"/>
        <v>1036</v>
      </c>
      <c r="AM11" s="106">
        <v>57000</v>
      </c>
    </row>
    <row r="12" spans="1:40" s="15" customFormat="1" ht="12.75">
      <c r="A12" s="82" t="s">
        <v>336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24" customHeight="1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</f>
        <v>698300</v>
      </c>
      <c r="M13" s="47" t="s">
        <v>92</v>
      </c>
      <c r="N13" s="78">
        <f>-I13+L13-I14+L14</f>
        <v>-92980</v>
      </c>
      <c r="O13" s="130">
        <f t="shared" si="3"/>
        <v>-89515</v>
      </c>
      <c r="P13" s="96">
        <f>Y13+1000+48075+AD13</f>
        <v>561526</v>
      </c>
      <c r="Q13" s="51" t="s">
        <v>305</v>
      </c>
      <c r="R13" s="171">
        <f t="shared" si="0"/>
        <v>-229754</v>
      </c>
      <c r="S13" s="140" t="s">
        <v>31</v>
      </c>
      <c r="T13" s="50" t="s">
        <v>124</v>
      </c>
      <c r="U13" s="89" t="s">
        <v>41</v>
      </c>
      <c r="V13" s="157" t="s">
        <v>233</v>
      </c>
      <c r="W13" s="157" t="s">
        <v>362</v>
      </c>
      <c r="X13" s="162">
        <v>1830</v>
      </c>
      <c r="Y13" s="162">
        <f>V13+W13+X13</f>
        <v>357575</v>
      </c>
      <c r="Z13" s="249">
        <v>346854</v>
      </c>
      <c r="AA13" s="162">
        <f>Z13+AE13+AF13+AG13</f>
        <v>678725</v>
      </c>
      <c r="AB13" s="147">
        <f>Y13-J13</f>
        <v>-433705</v>
      </c>
      <c r="AC13" s="147">
        <f>Y13-K13</f>
        <v>-430240</v>
      </c>
      <c r="AD13" s="260">
        <v>154876</v>
      </c>
      <c r="AE13" s="91">
        <v>119835</v>
      </c>
      <c r="AF13" s="91">
        <v>57160</v>
      </c>
      <c r="AG13" s="91">
        <f>AD13</f>
        <v>154876</v>
      </c>
      <c r="AH13" s="173">
        <f t="shared" si="1"/>
        <v>156829.96174863388</v>
      </c>
      <c r="AI13" s="147">
        <f>AD13+AB13</f>
        <v>-278829</v>
      </c>
      <c r="AJ13" s="244">
        <f>J13-L13</f>
        <v>92980</v>
      </c>
      <c r="AK13" s="245" t="s">
        <v>344</v>
      </c>
      <c r="AL13" s="243">
        <f t="shared" si="4"/>
        <v>-185849</v>
      </c>
      <c r="AM13" s="247">
        <v>103700</v>
      </c>
    </row>
    <row r="14" spans="1:40" s="15" customFormat="1" ht="12.75">
      <c r="A14" s="99" t="s">
        <v>150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230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151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230</v>
      </c>
      <c r="H15" s="88" t="s">
        <v>230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</f>
        <v>930</v>
      </c>
      <c r="M15" s="88" t="s">
        <v>92</v>
      </c>
      <c r="N15" s="130" t="e">
        <f>-I15+L15</f>
        <v>#VALUE!</v>
      </c>
      <c r="O15" s="130">
        <f t="shared" si="3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24" customHeight="1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</f>
        <v>22800</v>
      </c>
      <c r="M16" s="47" t="s">
        <v>92</v>
      </c>
      <c r="N16" s="78">
        <f>-I16+L16</f>
        <v>-3030</v>
      </c>
      <c r="O16" s="130">
        <f t="shared" si="3"/>
        <v>-3030</v>
      </c>
      <c r="P16" s="96">
        <f>Y16+AD16</f>
        <v>23815</v>
      </c>
      <c r="Q16" s="51" t="s">
        <v>306</v>
      </c>
      <c r="R16" s="171">
        <f t="shared" si="0"/>
        <v>-2015</v>
      </c>
      <c r="S16" s="140" t="s">
        <v>31</v>
      </c>
      <c r="T16" s="50" t="s">
        <v>124</v>
      </c>
      <c r="U16" s="89" t="s">
        <v>41</v>
      </c>
      <c r="V16" s="157" t="s">
        <v>234</v>
      </c>
      <c r="W16" s="157" t="s">
        <v>166</v>
      </c>
      <c r="X16" s="162">
        <v>60</v>
      </c>
      <c r="Y16" s="162">
        <f>V16+W16+X16</f>
        <v>10625</v>
      </c>
      <c r="Z16" s="249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260">
        <v>13190</v>
      </c>
      <c r="AE16" s="91"/>
      <c r="AF16" s="91"/>
      <c r="AG16" s="202"/>
      <c r="AH16" s="173">
        <f t="shared" si="1"/>
        <v>1770.8333333333333</v>
      </c>
      <c r="AI16" s="147">
        <f>AD16+AB16</f>
        <v>-2015</v>
      </c>
      <c r="AJ16" s="244">
        <f>J16-L16</f>
        <v>3030</v>
      </c>
      <c r="AK16" s="245" t="s">
        <v>344</v>
      </c>
      <c r="AL16" s="243">
        <f t="shared" si="4"/>
        <v>1015</v>
      </c>
      <c r="AM16" s="247">
        <v>3500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302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227</v>
      </c>
      <c r="W17" s="157" t="s">
        <v>167</v>
      </c>
      <c r="X17" s="162">
        <v>50</v>
      </c>
      <c r="Y17" s="162">
        <f>V17+W17+X17</f>
        <v>4432</v>
      </c>
      <c r="Z17" s="249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383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303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227</v>
      </c>
      <c r="W18" s="157" t="s">
        <v>168</v>
      </c>
      <c r="X18" s="162">
        <v>10</v>
      </c>
      <c r="Y18" s="162">
        <f>V18+W18+X18</f>
        <v>3592</v>
      </c>
      <c r="Z18" s="249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272</v>
      </c>
      <c r="AK19" s="237"/>
      <c r="AL19" s="104"/>
      <c r="AM19" s="41"/>
    </row>
    <row r="20" spans="1:40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255</v>
      </c>
      <c r="R20" s="171" t="e">
        <f>-K20+#REF!*D20</f>
        <v>#REF!</v>
      </c>
      <c r="S20" s="50"/>
      <c r="T20" s="50" t="s">
        <v>24</v>
      </c>
      <c r="U20" s="51"/>
      <c r="V20" s="157" t="s">
        <v>239</v>
      </c>
      <c r="W20" s="162">
        <f>230+3557+8245</f>
        <v>12032</v>
      </c>
      <c r="X20" s="162">
        <v>4</v>
      </c>
      <c r="Y20" s="162">
        <f>V20+W20+X20</f>
        <v>12044</v>
      </c>
      <c r="Z20" s="256">
        <v>14497</v>
      </c>
      <c r="AA20" s="162">
        <f>Z20+AF20+AG20</f>
        <v>14497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3543</v>
      </c>
      <c r="AK20" s="238"/>
      <c r="AL20" s="246">
        <f>AJ20+AI20</f>
        <v>-2453</v>
      </c>
      <c r="AM20" s="247"/>
      <c r="AN20">
        <f>AA20/(D20*400)</f>
        <v>9.060625</v>
      </c>
    </row>
    <row r="21" spans="1:40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256</v>
      </c>
      <c r="R21" s="171" t="e">
        <f>-K21+#REF!*D21</f>
        <v>#REF!</v>
      </c>
      <c r="S21" s="90"/>
      <c r="T21" s="50" t="s">
        <v>24</v>
      </c>
      <c r="U21" s="105"/>
      <c r="V21" s="157" t="s">
        <v>236</v>
      </c>
      <c r="W21" s="162">
        <f>2720+1501+252</f>
        <v>4473</v>
      </c>
      <c r="X21" s="162">
        <v>0</v>
      </c>
      <c r="Y21" s="162">
        <f>V21+W21+X21</f>
        <v>4477</v>
      </c>
      <c r="Z21" s="256">
        <v>7207</v>
      </c>
      <c r="AA21" s="162">
        <f>Z21+AF21+AG21</f>
        <v>7207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1813</v>
      </c>
      <c r="AK21" s="238"/>
      <c r="AL21" s="246">
        <f t="shared" si="4"/>
        <v>-2730</v>
      </c>
      <c r="AM21" s="247"/>
      <c r="AN21">
        <f>AA21/(D21*400)</f>
        <v>9.00875</v>
      </c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272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241</v>
      </c>
      <c r="B24" s="59"/>
      <c r="C24" s="59"/>
      <c r="D24" s="44"/>
      <c r="E24" s="45"/>
      <c r="F24" s="85"/>
      <c r="G24" s="86"/>
      <c r="H24" s="85"/>
      <c r="I24" s="46"/>
      <c r="J24" s="153" t="s">
        <v>230</v>
      </c>
      <c r="K24" s="153" t="s">
        <v>230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244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447</v>
      </c>
      <c r="Q25" s="51"/>
      <c r="R25" s="79">
        <f t="shared" si="0"/>
        <v>-53</v>
      </c>
      <c r="S25" s="50"/>
      <c r="T25" s="50" t="s">
        <v>24</v>
      </c>
      <c r="U25" s="51"/>
      <c r="V25" s="157"/>
      <c r="W25" s="157" t="s">
        <v>363</v>
      </c>
      <c r="X25" s="88"/>
      <c r="Y25" s="162">
        <f>V25+W25+X25</f>
        <v>347</v>
      </c>
      <c r="Z25" s="259">
        <v>281</v>
      </c>
      <c r="AA25" s="162">
        <f>Z25+AE25+AF25+AG25</f>
        <v>581</v>
      </c>
      <c r="AB25" s="198">
        <f>Y25-J25</f>
        <v>-133</v>
      </c>
      <c r="AC25" s="198">
        <f>Y25-K25</f>
        <v>-133</v>
      </c>
      <c r="AD25" s="260">
        <v>100</v>
      </c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-101</v>
      </c>
      <c r="AK25" s="239"/>
      <c r="AL25" s="243">
        <f t="shared" si="4"/>
        <v>-101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272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169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236</v>
      </c>
      <c r="W27" s="157" t="s">
        <v>169</v>
      </c>
      <c r="X27" s="162">
        <v>0</v>
      </c>
      <c r="Y27" s="162">
        <f aca="true" t="shared" si="11" ref="Y27:Y32">V27+W27+X27</f>
        <v>3784</v>
      </c>
      <c r="Z27" s="249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304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243</v>
      </c>
      <c r="W28" s="162">
        <f>982+9250+1200</f>
        <v>11432</v>
      </c>
      <c r="X28" s="162">
        <v>0</v>
      </c>
      <c r="Y28" s="162">
        <f t="shared" si="11"/>
        <v>11551</v>
      </c>
      <c r="Z28" s="249">
        <v>8128</v>
      </c>
      <c r="AA28" s="162">
        <f t="shared" si="12"/>
        <v>11762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-3152</v>
      </c>
      <c r="AK28" s="236"/>
      <c r="AL28" s="246">
        <f t="shared" si="4"/>
        <v>-211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170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237</v>
      </c>
      <c r="W29" s="157" t="s">
        <v>170</v>
      </c>
      <c r="X29" s="162">
        <v>0</v>
      </c>
      <c r="Y29" s="162">
        <f t="shared" si="11"/>
        <v>8305</v>
      </c>
      <c r="Z29" s="249">
        <v>8300</v>
      </c>
      <c r="AA29" s="162">
        <f t="shared" si="12"/>
        <v>9300</v>
      </c>
      <c r="AB29" s="147">
        <f t="shared" si="13"/>
        <v>-1075</v>
      </c>
      <c r="AC29" s="147">
        <f t="shared" si="14"/>
        <v>-305</v>
      </c>
      <c r="AD29" s="260">
        <v>1000</v>
      </c>
      <c r="AE29" s="91"/>
      <c r="AF29" s="91"/>
      <c r="AG29" s="91">
        <f>AD29</f>
        <v>1000</v>
      </c>
      <c r="AH29" s="167">
        <f t="shared" si="15"/>
        <v>4152.5</v>
      </c>
      <c r="AI29" s="147">
        <f t="shared" si="16"/>
        <v>-75</v>
      </c>
      <c r="AJ29" s="167">
        <f t="shared" si="17"/>
        <v>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171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238</v>
      </c>
      <c r="W30" s="157" t="s">
        <v>171</v>
      </c>
      <c r="X30" s="162">
        <v>0</v>
      </c>
      <c r="Y30" s="162">
        <f t="shared" si="11"/>
        <v>16406</v>
      </c>
      <c r="Z30" s="249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307</v>
      </c>
      <c r="R31" s="196">
        <f t="shared" si="0"/>
        <v>-11280</v>
      </c>
      <c r="S31" s="50"/>
      <c r="T31" s="50"/>
      <c r="U31" s="51" t="s">
        <v>120</v>
      </c>
      <c r="V31" s="157" t="s">
        <v>235</v>
      </c>
      <c r="W31" s="157" t="s">
        <v>172</v>
      </c>
      <c r="X31" s="162">
        <v>0</v>
      </c>
      <c r="Y31" s="162">
        <f t="shared" si="11"/>
        <v>73140</v>
      </c>
      <c r="Z31" s="249">
        <v>73100</v>
      </c>
      <c r="AA31" s="162">
        <f t="shared" si="12"/>
        <v>73100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11320</v>
      </c>
      <c r="AK31" s="236"/>
      <c r="AL31" s="246">
        <f t="shared" si="4"/>
        <v>40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229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229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235</v>
      </c>
      <c r="W32" s="157" t="s">
        <v>229</v>
      </c>
      <c r="X32" s="162">
        <v>0</v>
      </c>
      <c r="Y32" s="162">
        <f t="shared" si="11"/>
        <v>45640</v>
      </c>
      <c r="Z32" s="249">
        <v>45600</v>
      </c>
      <c r="AA32" s="162">
        <f t="shared" si="12"/>
        <v>47600</v>
      </c>
      <c r="AB32" s="147">
        <f t="shared" si="13"/>
        <v>17500</v>
      </c>
      <c r="AC32" s="147">
        <f t="shared" si="14"/>
        <v>19810</v>
      </c>
      <c r="AD32" s="260">
        <v>2000</v>
      </c>
      <c r="AE32" s="91"/>
      <c r="AF32" s="91"/>
      <c r="AG32" s="91">
        <f>AD32</f>
        <v>2000</v>
      </c>
      <c r="AH32" s="179">
        <f t="shared" si="15"/>
        <v>7606.666666666667</v>
      </c>
      <c r="AI32" s="147">
        <f t="shared" si="16"/>
        <v>19500</v>
      </c>
      <c r="AJ32" s="167">
        <f t="shared" si="17"/>
        <v>-19460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272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272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309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173</v>
      </c>
      <c r="X36" s="164">
        <v>10</v>
      </c>
      <c r="Y36" s="162">
        <f>V36+W36+X36</f>
        <v>4090</v>
      </c>
      <c r="Z36" s="249">
        <v>4080</v>
      </c>
      <c r="AA36" s="162">
        <f aca="true" t="shared" si="20" ref="AA36:AA47">Z36+AE36+AF36+AG36</f>
        <v>4124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566</v>
      </c>
      <c r="AK36" s="236"/>
      <c r="AL36" s="243">
        <f t="shared" si="4"/>
        <v>-34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173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227</v>
      </c>
      <c r="W37" s="157" t="s">
        <v>173</v>
      </c>
      <c r="X37" s="164">
        <v>10</v>
      </c>
      <c r="Y37" s="162">
        <f aca="true" t="shared" si="28" ref="Y37:Y50">V37+W37+X37</f>
        <v>4092</v>
      </c>
      <c r="Z37" s="249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260">
        <v>14</v>
      </c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-584</v>
      </c>
      <c r="AJ37" s="167">
        <f>J37-AA37</f>
        <v>596</v>
      </c>
      <c r="AK37" s="236"/>
      <c r="AL37" s="243">
        <f t="shared" si="4"/>
        <v>12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9406</v>
      </c>
      <c r="Q38" s="112" t="s">
        <v>315</v>
      </c>
      <c r="R38" s="130">
        <f t="shared" si="0"/>
        <v>-4664</v>
      </c>
      <c r="S38" s="113"/>
      <c r="T38" s="113" t="s">
        <v>24</v>
      </c>
      <c r="U38" s="112" t="s">
        <v>109</v>
      </c>
      <c r="V38" s="158" t="s">
        <v>242</v>
      </c>
      <c r="W38" s="164">
        <f>3565+3510+1053</f>
        <v>8128</v>
      </c>
      <c r="X38" s="164">
        <v>0</v>
      </c>
      <c r="Y38" s="162">
        <f>V38+W38+X38+AD38</f>
        <v>8354</v>
      </c>
      <c r="Z38" s="249">
        <v>11432</v>
      </c>
      <c r="AA38" s="162">
        <f t="shared" si="20"/>
        <v>12414</v>
      </c>
      <c r="AB38" s="147">
        <f>Y38-J38</f>
        <v>-5716</v>
      </c>
      <c r="AC38" s="147">
        <f t="shared" si="29"/>
        <v>-4561</v>
      </c>
      <c r="AD38" s="260">
        <v>70</v>
      </c>
      <c r="AE38" s="91">
        <v>982</v>
      </c>
      <c r="AF38" s="147"/>
      <c r="AG38" s="147">
        <v>0</v>
      </c>
      <c r="AH38" s="195">
        <f>Y38/D38+AG20</f>
        <v>2784.6666666666665</v>
      </c>
      <c r="AI38" s="147">
        <f t="shared" si="21"/>
        <v>-5646</v>
      </c>
      <c r="AJ38" s="195">
        <f>J38-AA38</f>
        <v>1656</v>
      </c>
      <c r="AK38" s="248" t="s">
        <v>382</v>
      </c>
      <c r="AL38" s="246">
        <f t="shared" si="4"/>
        <v>-3990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11446</v>
      </c>
      <c r="Q39" s="112" t="s">
        <v>174</v>
      </c>
      <c r="R39" s="130">
        <f t="shared" si="0"/>
        <v>-2624</v>
      </c>
      <c r="S39" s="113"/>
      <c r="T39" s="113" t="s">
        <v>24</v>
      </c>
      <c r="U39" s="112" t="s">
        <v>119</v>
      </c>
      <c r="V39" s="158" t="s">
        <v>238</v>
      </c>
      <c r="W39" s="158" t="s">
        <v>174</v>
      </c>
      <c r="X39" s="164">
        <v>0</v>
      </c>
      <c r="Y39" s="162">
        <f>V39+W39+X39+AD39</f>
        <v>11446</v>
      </c>
      <c r="Z39" s="249">
        <v>9530</v>
      </c>
      <c r="AA39" s="162">
        <f t="shared" si="20"/>
        <v>11440</v>
      </c>
      <c r="AB39" s="147">
        <f>Y39-J39</f>
        <v>-2624</v>
      </c>
      <c r="AC39" s="147">
        <f t="shared" si="29"/>
        <v>-1469</v>
      </c>
      <c r="AD39" s="260">
        <v>1910</v>
      </c>
      <c r="AE39" s="91"/>
      <c r="AF39" s="91"/>
      <c r="AG39" s="91">
        <f>AD39</f>
        <v>1910</v>
      </c>
      <c r="AH39" s="195">
        <f t="shared" si="30"/>
        <v>3815.3333333333335</v>
      </c>
      <c r="AI39" s="147">
        <f t="shared" si="21"/>
        <v>-714</v>
      </c>
      <c r="AJ39" s="195">
        <f aca="true" t="shared" si="32" ref="AJ39:AJ51">J39-AA39</f>
        <v>2630</v>
      </c>
      <c r="AK39" s="241"/>
      <c r="AL39" s="246">
        <f t="shared" si="4"/>
        <v>1916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175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175</v>
      </c>
      <c r="X40" s="164">
        <v>0</v>
      </c>
      <c r="Y40" s="162">
        <f t="shared" si="28"/>
        <v>24000</v>
      </c>
      <c r="Z40" s="249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231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238</v>
      </c>
      <c r="W41" s="158" t="s">
        <v>231</v>
      </c>
      <c r="X41" s="164">
        <v>2300</v>
      </c>
      <c r="Y41" s="162">
        <f t="shared" si="28"/>
        <v>14306</v>
      </c>
      <c r="Z41" s="249">
        <v>24400</v>
      </c>
      <c r="AA41" s="162">
        <f t="shared" si="20"/>
        <v>24400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-10330</v>
      </c>
      <c r="AK41" s="236"/>
      <c r="AL41" s="246">
        <f t="shared" si="4"/>
        <v>-10094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179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179</v>
      </c>
      <c r="X42" s="164">
        <v>0</v>
      </c>
      <c r="Y42" s="162">
        <f t="shared" si="28"/>
        <v>4200</v>
      </c>
      <c r="Z42" s="249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260">
        <v>1000</v>
      </c>
      <c r="AE42" s="147"/>
      <c r="AF42" s="147"/>
      <c r="AG42" s="147"/>
      <c r="AH42" s="167">
        <f t="shared" si="30"/>
        <v>2100</v>
      </c>
      <c r="AI42" s="147">
        <f t="shared" si="21"/>
        <v>-6370</v>
      </c>
      <c r="AJ42" s="167">
        <f t="shared" si="32"/>
        <v>7370</v>
      </c>
      <c r="AK42" s="236"/>
      <c r="AL42" s="243">
        <f t="shared" si="4"/>
        <v>1000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313</v>
      </c>
      <c r="R43" s="130">
        <f t="shared" si="0"/>
        <v>-1176</v>
      </c>
      <c r="S43" s="140"/>
      <c r="T43" s="113" t="s">
        <v>24</v>
      </c>
      <c r="U43" s="51"/>
      <c r="V43" s="157" t="s">
        <v>236</v>
      </c>
      <c r="W43" s="157"/>
      <c r="X43" s="162">
        <v>8200</v>
      </c>
      <c r="Y43" s="162">
        <f t="shared" si="28"/>
        <v>8204</v>
      </c>
      <c r="Z43" s="249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310</v>
      </c>
      <c r="R44" s="130">
        <f t="shared" si="0"/>
        <v>-588</v>
      </c>
      <c r="S44" s="140"/>
      <c r="T44" s="113" t="s">
        <v>24</v>
      </c>
      <c r="U44" s="51"/>
      <c r="V44" s="157" t="s">
        <v>227</v>
      </c>
      <c r="W44" s="157"/>
      <c r="X44" s="162">
        <v>4100</v>
      </c>
      <c r="Y44" s="162">
        <f t="shared" si="28"/>
        <v>4102</v>
      </c>
      <c r="Z44" s="249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310</v>
      </c>
      <c r="R45" s="130">
        <f t="shared" si="0"/>
        <v>-588</v>
      </c>
      <c r="S45" s="140"/>
      <c r="T45" s="113" t="s">
        <v>24</v>
      </c>
      <c r="U45" s="51"/>
      <c r="V45" s="157" t="s">
        <v>227</v>
      </c>
      <c r="W45" s="157" t="s">
        <v>178</v>
      </c>
      <c r="X45" s="162">
        <v>1800</v>
      </c>
      <c r="Y45" s="162">
        <f t="shared" si="28"/>
        <v>4102</v>
      </c>
      <c r="Z45" s="249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310</v>
      </c>
      <c r="R46" s="130">
        <f t="shared" si="0"/>
        <v>-588</v>
      </c>
      <c r="S46" s="140"/>
      <c r="T46" s="113" t="s">
        <v>24</v>
      </c>
      <c r="U46" s="51"/>
      <c r="V46" s="157" t="s">
        <v>227</v>
      </c>
      <c r="W46" s="157"/>
      <c r="X46" s="162">
        <v>4100</v>
      </c>
      <c r="Y46" s="162">
        <f t="shared" si="28"/>
        <v>4102</v>
      </c>
      <c r="Z46" s="249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251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257">
        <v>200</v>
      </c>
      <c r="AA47" s="162">
        <f t="shared" si="20"/>
        <v>200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503.5</v>
      </c>
      <c r="AK47" s="236"/>
      <c r="AL47" s="243">
        <f t="shared" si="4"/>
        <v>600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176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318</v>
      </c>
      <c r="X48" s="162">
        <v>140</v>
      </c>
      <c r="Y48" s="162">
        <f t="shared" si="28"/>
        <v>331</v>
      </c>
      <c r="Z48" s="249">
        <v>892</v>
      </c>
      <c r="AA48" s="162">
        <f>Z48+AD48+AG48</f>
        <v>892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310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177</v>
      </c>
      <c r="X49" s="162">
        <v>3950</v>
      </c>
      <c r="Y49" s="162">
        <f t="shared" si="28"/>
        <v>4100</v>
      </c>
      <c r="Z49" s="249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310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165</v>
      </c>
      <c r="X50" s="162">
        <v>4000</v>
      </c>
      <c r="Y50" s="162">
        <f t="shared" si="28"/>
        <v>4100</v>
      </c>
      <c r="Z50" s="249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341</v>
      </c>
      <c r="B51" s="43" t="s">
        <v>342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364</v>
      </c>
      <c r="X51" s="162"/>
      <c r="Y51" s="162"/>
      <c r="Z51" s="258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272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-544862.5</v>
      </c>
      <c r="AC52" s="139">
        <f>SUM(AC6:AC51)</f>
        <v>-512401.25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335</v>
      </c>
      <c r="K57" s="154" t="s">
        <v>330</v>
      </c>
      <c r="L57" s="189" t="s">
        <v>4</v>
      </c>
      <c r="M57" s="33" t="s">
        <v>29</v>
      </c>
      <c r="N57" s="38" t="s">
        <v>122</v>
      </c>
      <c r="O57" s="187" t="s">
        <v>331</v>
      </c>
      <c r="P57" s="33" t="s">
        <v>30</v>
      </c>
      <c r="Q57" s="156" t="s">
        <v>332</v>
      </c>
      <c r="R57" s="33" t="s">
        <v>225</v>
      </c>
      <c r="S57" s="40" t="s">
        <v>16</v>
      </c>
      <c r="T57" s="40" t="s">
        <v>28</v>
      </c>
      <c r="U57" s="39" t="s">
        <v>118</v>
      </c>
      <c r="V57" s="156" t="s">
        <v>226</v>
      </c>
      <c r="W57" s="156" t="s">
        <v>162</v>
      </c>
      <c r="X57" s="165" t="s">
        <v>117</v>
      </c>
      <c r="Y57" s="165" t="s">
        <v>245</v>
      </c>
      <c r="Z57" s="165" t="s">
        <v>416</v>
      </c>
      <c r="AA57" s="216" t="s">
        <v>354</v>
      </c>
      <c r="AB57" s="229" t="s">
        <v>393</v>
      </c>
      <c r="AC57" s="166" t="s">
        <v>377</v>
      </c>
      <c r="AD57" s="217" t="s">
        <v>360</v>
      </c>
      <c r="AE57" s="166"/>
      <c r="AF57" s="166"/>
      <c r="AG57" s="166" t="s">
        <v>261</v>
      </c>
      <c r="AH57" s="165" t="s">
        <v>356</v>
      </c>
      <c r="AI57" s="166" t="s">
        <v>355</v>
      </c>
      <c r="AJ57" s="209" t="s">
        <v>338</v>
      </c>
      <c r="AK57" s="254" t="s">
        <v>384</v>
      </c>
      <c r="AL57" s="218" t="s">
        <v>333</v>
      </c>
      <c r="AM57" s="190" t="s">
        <v>300</v>
      </c>
      <c r="AN57" s="190" t="s">
        <v>334</v>
      </c>
      <c r="AO57" s="218" t="s">
        <v>357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20" t="s">
        <v>359</v>
      </c>
      <c r="AA58" s="23"/>
      <c r="AB58" s="223"/>
      <c r="AC58" s="223" t="s">
        <v>361</v>
      </c>
      <c r="AD58" s="220" t="s">
        <v>359</v>
      </c>
      <c r="AE58" s="4"/>
      <c r="AF58" s="4"/>
      <c r="AG58" s="4"/>
      <c r="AH58" s="21"/>
      <c r="AI58" s="4"/>
      <c r="AJ58" s="21"/>
      <c r="AK58" s="252" t="s">
        <v>394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2564</v>
      </c>
      <c r="Q60" s="89" t="s">
        <v>251</v>
      </c>
      <c r="R60" s="196">
        <f>-I60+P60</f>
        <v>-1306</v>
      </c>
      <c r="S60" s="50"/>
      <c r="T60" s="50" t="s">
        <v>91</v>
      </c>
      <c r="U60" s="89" t="s">
        <v>41</v>
      </c>
      <c r="V60" s="157" t="s">
        <v>227</v>
      </c>
      <c r="W60" s="157" t="s">
        <v>319</v>
      </c>
      <c r="X60" s="162">
        <v>2</v>
      </c>
      <c r="Y60" s="162">
        <f>V60+W60+X60</f>
        <v>2004</v>
      </c>
      <c r="Z60" s="249">
        <v>2000</v>
      </c>
      <c r="AB60" s="162">
        <f>AG60+AH60+500</f>
        <v>4098</v>
      </c>
      <c r="AC60" s="202">
        <f>(3+2)</f>
        <v>5</v>
      </c>
      <c r="AD60" s="260">
        <v>1589</v>
      </c>
      <c r="AE60" s="255">
        <f>AB60/500</f>
        <v>8.196</v>
      </c>
      <c r="AF60" s="91"/>
      <c r="AG60" s="172">
        <f>(AC60+AD60)/D60</f>
        <v>1594</v>
      </c>
      <c r="AH60" s="96">
        <f>Y60/D60</f>
        <v>2004</v>
      </c>
      <c r="AI60" s="172">
        <f>AG60-AH60+500</f>
        <v>90</v>
      </c>
      <c r="AJ60" s="88">
        <f>J60-(AB60*D60)</f>
        <v>-228</v>
      </c>
      <c r="AK60" s="249">
        <v>500</v>
      </c>
      <c r="AL60" s="176" t="s">
        <v>262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252</v>
      </c>
      <c r="R61" s="196">
        <f>-I61+P61</f>
        <v>-2256</v>
      </c>
      <c r="S61" s="50" t="s">
        <v>31</v>
      </c>
      <c r="T61" s="50" t="s">
        <v>106</v>
      </c>
      <c r="U61" s="89" t="s">
        <v>272</v>
      </c>
      <c r="V61" s="157" t="s">
        <v>244</v>
      </c>
      <c r="W61" s="157" t="s">
        <v>320</v>
      </c>
      <c r="X61" s="162">
        <v>4</v>
      </c>
      <c r="Y61" s="88">
        <f>V61+W61+X61</f>
        <v>4004</v>
      </c>
      <c r="Z61" s="249">
        <v>4000</v>
      </c>
      <c r="AB61" s="162">
        <f>AG61+AH61+500+103</f>
        <v>3698</v>
      </c>
      <c r="AC61" s="91"/>
      <c r="AD61" s="260">
        <v>2186</v>
      </c>
      <c r="AE61" s="255">
        <f aca="true" t="shared" si="35" ref="AE61:AE67">AB61/500</f>
        <v>7.396</v>
      </c>
      <c r="AF61" s="91"/>
      <c r="AG61" s="172">
        <f>(AC61+AD61)/D61</f>
        <v>1093</v>
      </c>
      <c r="AH61" s="96">
        <f>Y61/D61</f>
        <v>2002</v>
      </c>
      <c r="AI61" s="172">
        <f>AG61-AH61+500</f>
        <v>-409</v>
      </c>
      <c r="AJ61" s="88">
        <f>J61-(AB61*D61)</f>
        <v>1114</v>
      </c>
      <c r="AK61" s="253">
        <v>2240</v>
      </c>
      <c r="AL61" s="176" t="s">
        <v>262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340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255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5410</v>
      </c>
      <c r="Q63" s="89" t="s">
        <v>253</v>
      </c>
      <c r="R63" s="196">
        <f>-I63+P63</f>
        <v>675</v>
      </c>
      <c r="S63" s="141"/>
      <c r="T63" s="141" t="s">
        <v>94</v>
      </c>
      <c r="U63" s="49"/>
      <c r="V63" s="157"/>
      <c r="W63" s="157" t="s">
        <v>321</v>
      </c>
      <c r="X63" s="162">
        <v>2</v>
      </c>
      <c r="Y63" s="162">
        <f>V63+W63+X63</f>
        <v>2012</v>
      </c>
      <c r="Z63" s="249">
        <v>2010</v>
      </c>
      <c r="AB63" s="162">
        <f>AG63+AH63+500</f>
        <v>3812</v>
      </c>
      <c r="AC63" s="91"/>
      <c r="AD63" s="260">
        <v>1300</v>
      </c>
      <c r="AE63" s="255">
        <f t="shared" si="35"/>
        <v>7.624</v>
      </c>
      <c r="AF63" s="91"/>
      <c r="AG63" s="172">
        <f>(AC63+AD63)/D63</f>
        <v>1300</v>
      </c>
      <c r="AH63" s="96">
        <f>Y63/D63</f>
        <v>2012</v>
      </c>
      <c r="AI63" s="172">
        <f>AG63-AH63+500</f>
        <v>-212</v>
      </c>
      <c r="AJ63" s="88">
        <f>J63-(AB63*D63)</f>
        <v>443</v>
      </c>
      <c r="AK63" s="96"/>
      <c r="AL63" s="176" t="s">
        <v>262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153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8550</v>
      </c>
      <c r="Q64" s="51" t="s">
        <v>252</v>
      </c>
      <c r="R64" s="171">
        <f>-I64+P64</f>
        <v>-150</v>
      </c>
      <c r="S64" s="140" t="s">
        <v>31</v>
      </c>
      <c r="T64" s="50" t="s">
        <v>154</v>
      </c>
      <c r="U64" s="51"/>
      <c r="V64" s="157"/>
      <c r="W64" s="157" t="s">
        <v>320</v>
      </c>
      <c r="X64" s="162">
        <v>4</v>
      </c>
      <c r="Y64" s="162">
        <f>V64+W64+X64</f>
        <v>4004</v>
      </c>
      <c r="Z64" s="249">
        <v>4000</v>
      </c>
      <c r="AB64" s="162">
        <f>AG64+AH64+500</f>
        <v>3592</v>
      </c>
      <c r="AC64" s="224">
        <f>(85+5)</f>
        <v>90</v>
      </c>
      <c r="AD64" s="260">
        <v>2090</v>
      </c>
      <c r="AE64" s="255">
        <f t="shared" si="35"/>
        <v>7.184</v>
      </c>
      <c r="AF64" s="91"/>
      <c r="AG64" s="172">
        <f>(AC64+AD64)/D64</f>
        <v>1090</v>
      </c>
      <c r="AH64" s="96">
        <f>Y64/D64</f>
        <v>2002</v>
      </c>
      <c r="AI64" s="172">
        <f>AG64-AH64+500</f>
        <v>-412</v>
      </c>
      <c r="AJ64" s="88">
        <f>J64-(AB64*D64)</f>
        <v>556</v>
      </c>
      <c r="AK64" s="249">
        <v>1900</v>
      </c>
      <c r="AL64" s="176" t="s">
        <v>262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152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154</v>
      </c>
      <c r="U65" s="89"/>
      <c r="V65" s="89"/>
      <c r="W65" s="89"/>
      <c r="X65" s="88"/>
      <c r="Y65" s="88"/>
      <c r="Z65" s="88"/>
      <c r="AB65" s="162"/>
      <c r="AC65" s="91"/>
      <c r="AD65" s="91"/>
      <c r="AE65" s="255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15139</v>
      </c>
      <c r="Q66" s="51" t="s">
        <v>312</v>
      </c>
      <c r="R66" s="196">
        <f>-I66+P66</f>
        <v>6439</v>
      </c>
      <c r="S66" s="140" t="s">
        <v>31</v>
      </c>
      <c r="T66" s="50" t="s">
        <v>154</v>
      </c>
      <c r="U66" s="51"/>
      <c r="V66" s="157"/>
      <c r="W66" s="157" t="s">
        <v>320</v>
      </c>
      <c r="X66" s="162">
        <v>4</v>
      </c>
      <c r="Y66" s="162">
        <f>V66+W66+X66</f>
        <v>4004</v>
      </c>
      <c r="Z66" s="249">
        <v>3915</v>
      </c>
      <c r="AB66" s="162">
        <f>AG66+AH66+500</f>
        <v>3489.5</v>
      </c>
      <c r="AC66" s="91"/>
      <c r="AD66" s="260">
        <v>1975</v>
      </c>
      <c r="AE66" s="255">
        <f t="shared" si="35"/>
        <v>6.979</v>
      </c>
      <c r="AF66" s="91"/>
      <c r="AG66" s="172">
        <f>(AC66+AD66)/D66</f>
        <v>987.5</v>
      </c>
      <c r="AH66" s="96">
        <f>Y66/D66</f>
        <v>2002</v>
      </c>
      <c r="AI66" s="172">
        <f>AG66-AH66+500</f>
        <v>-514.5</v>
      </c>
      <c r="AJ66" s="88">
        <f>J66-(AB66*D66)</f>
        <v>761</v>
      </c>
      <c r="AK66" s="249">
        <v>2300</v>
      </c>
      <c r="AL66" s="176" t="s">
        <v>262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337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254</v>
      </c>
      <c r="R67" s="196">
        <f>-I67+P67</f>
        <v>-2905</v>
      </c>
      <c r="S67" s="140" t="s">
        <v>31</v>
      </c>
      <c r="T67" s="113" t="s">
        <v>154</v>
      </c>
      <c r="U67" s="112"/>
      <c r="V67" s="158" t="s">
        <v>244</v>
      </c>
      <c r="W67" s="158" t="s">
        <v>322</v>
      </c>
      <c r="X67" s="164">
        <v>6</v>
      </c>
      <c r="Y67" s="162">
        <f>V67+W67+X67</f>
        <v>5706</v>
      </c>
      <c r="Z67" s="249">
        <v>5700</v>
      </c>
      <c r="AB67" s="162">
        <f>AG67+AH67+500</f>
        <v>3642.666666666667</v>
      </c>
      <c r="AC67" s="224">
        <f>(612+30)</f>
        <v>642</v>
      </c>
      <c r="AD67" s="143">
        <v>3080</v>
      </c>
      <c r="AE67" s="255">
        <f t="shared" si="35"/>
        <v>7.285333333333334</v>
      </c>
      <c r="AG67" s="172">
        <f>(AC67+AD67)/D67</f>
        <v>1240.6666666666667</v>
      </c>
      <c r="AH67" s="96">
        <f>Y67/D67</f>
        <v>1902</v>
      </c>
      <c r="AI67" s="172">
        <f>AG67-AH67+500</f>
        <v>-161.33333333333326</v>
      </c>
      <c r="AJ67" s="88">
        <f>J67-(AB67*D67)</f>
        <v>1837</v>
      </c>
      <c r="AK67" s="249">
        <v>5500</v>
      </c>
      <c r="AL67" s="177" t="s">
        <v>262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339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255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2:39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2:39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2:39" ht="12.75">
      <c r="B81" s="30"/>
      <c r="C81" s="30">
        <f>-7440+9470+100+40</f>
        <v>2170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>
        <f>AB67/400</f>
        <v>9.106666666666667</v>
      </c>
      <c r="AD81" s="4"/>
      <c r="AE81" s="4"/>
      <c r="AF81" s="4"/>
      <c r="AG81" s="4">
        <f>AG61*2</f>
        <v>2186</v>
      </c>
      <c r="AH81" s="21">
        <f>308+322+330+98+36</f>
        <v>1094</v>
      </c>
      <c r="AI81" s="4"/>
      <c r="AJ81" s="21"/>
      <c r="AK81" s="21"/>
      <c r="AL81" s="13"/>
      <c r="AM81" s="8"/>
    </row>
    <row r="82" spans="2:39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>
        <f>1902/5.5</f>
        <v>345.8181818181818</v>
      </c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2:39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2:39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2:39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2:39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2:39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2:39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2:39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2:39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2:39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2:39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2:39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2:39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2:39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2:39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2:39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2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4" sqref="J3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284</v>
      </c>
      <c r="B1"/>
      <c r="C1" t="s">
        <v>286</v>
      </c>
      <c r="D1" t="s">
        <v>285</v>
      </c>
      <c r="E1" t="s">
        <v>285</v>
      </c>
      <c r="F1"/>
      <c r="G1"/>
      <c r="H1" t="s">
        <v>285</v>
      </c>
      <c r="I1" t="s">
        <v>285</v>
      </c>
      <c r="J1"/>
      <c r="K1"/>
      <c r="L1"/>
      <c r="M1"/>
      <c r="N1" t="s">
        <v>290</v>
      </c>
      <c r="O1" t="s">
        <v>369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135</v>
      </c>
      <c r="F2" s="181" t="s">
        <v>127</v>
      </c>
      <c r="G2" s="143" t="s">
        <v>135</v>
      </c>
      <c r="H2" s="181" t="s">
        <v>127</v>
      </c>
      <c r="I2" s="143" t="s">
        <v>135</v>
      </c>
      <c r="J2" s="181" t="s">
        <v>127</v>
      </c>
      <c r="K2" s="143" t="s">
        <v>135</v>
      </c>
      <c r="L2" s="143"/>
      <c r="M2" s="143"/>
      <c r="N2" t="s">
        <v>367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292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133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366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291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365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289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370</v>
      </c>
      <c r="B10" t="s">
        <v>283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373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371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9440</v>
      </c>
      <c r="K18" s="144">
        <v>4704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372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368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14497</v>
      </c>
      <c r="K19" s="15">
        <f t="shared" si="0"/>
        <v>6905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15"/>
      <c r="K20" s="15"/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374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 s="146"/>
      <c r="C28" s="146"/>
      <c r="D28" s="146"/>
      <c r="E28" s="146"/>
      <c r="F28" s="146"/>
      <c r="G28" s="146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 s="146"/>
      <c r="C29" t="s">
        <v>395</v>
      </c>
      <c r="D29" s="181" t="s">
        <v>127</v>
      </c>
      <c r="E29" s="143" t="s">
        <v>135</v>
      </c>
      <c r="F29"/>
      <c r="G29" s="14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 s="146"/>
      <c r="C30" s="144" t="s">
        <v>289</v>
      </c>
      <c r="D30" s="15">
        <v>14497</v>
      </c>
      <c r="E30" s="16">
        <v>6905</v>
      </c>
      <c r="F30" t="s">
        <v>396</v>
      </c>
      <c r="G30" s="14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 s="146"/>
      <c r="C31"/>
      <c r="D31" s="191">
        <f>14497/4</f>
        <v>3624.25</v>
      </c>
      <c r="E31" s="191">
        <f>6905/2</f>
        <v>3452.5</v>
      </c>
      <c r="F31" t="s">
        <v>397</v>
      </c>
      <c r="G31" s="146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 s="146"/>
      <c r="C32" s="146"/>
      <c r="D32" s="146"/>
      <c r="E32" s="146"/>
      <c r="F32" s="146"/>
      <c r="G32" s="14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 s="10" t="s">
        <v>4</v>
      </c>
      <c r="D34" s="68">
        <f>(3800*4)+200</f>
        <v>15400</v>
      </c>
      <c r="E34" s="68">
        <f>(3800*2)+100</f>
        <v>7700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0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180</v>
      </c>
      <c r="C1" t="s">
        <v>181</v>
      </c>
      <c r="D1" s="146" t="s">
        <v>182</v>
      </c>
      <c r="E1" s="143" t="s">
        <v>183</v>
      </c>
      <c r="F1" s="143" t="s">
        <v>184</v>
      </c>
      <c r="G1" t="s">
        <v>185</v>
      </c>
      <c r="H1" t="s">
        <v>186</v>
      </c>
      <c r="I1" t="s">
        <v>180</v>
      </c>
      <c r="J1" s="146" t="s">
        <v>187</v>
      </c>
      <c r="K1" t="s">
        <v>195</v>
      </c>
      <c r="L1" s="143" t="s">
        <v>183</v>
      </c>
      <c r="M1" s="143" t="s">
        <v>184</v>
      </c>
      <c r="N1" t="s">
        <v>185</v>
      </c>
      <c r="O1" t="s">
        <v>200</v>
      </c>
      <c r="P1" t="s">
        <v>180</v>
      </c>
      <c r="Q1" t="s">
        <v>181</v>
      </c>
      <c r="R1" s="144" t="s">
        <v>182</v>
      </c>
    </row>
    <row r="2" spans="1:17" ht="12.75">
      <c r="A2" s="144" t="s">
        <v>207</v>
      </c>
      <c r="B2" s="142" t="s">
        <v>188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208</v>
      </c>
      <c r="B3" s="142"/>
      <c r="C3" s="142" t="s">
        <v>189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209</v>
      </c>
      <c r="B4" s="142"/>
      <c r="C4" s="142"/>
      <c r="D4" s="146" t="s">
        <v>190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192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191</v>
      </c>
      <c r="I6" s="142"/>
      <c r="K6" s="142"/>
      <c r="N6" s="142"/>
      <c r="O6" s="142"/>
      <c r="P6" s="142"/>
      <c r="Q6" s="142"/>
    </row>
    <row r="7" spans="2:18" ht="12.75">
      <c r="B7" s="142" t="s">
        <v>211</v>
      </c>
      <c r="C7" s="142" t="s">
        <v>211</v>
      </c>
      <c r="D7" s="146" t="s">
        <v>211</v>
      </c>
      <c r="E7" s="142"/>
      <c r="F7" s="142"/>
      <c r="G7" s="142" t="s">
        <v>211</v>
      </c>
      <c r="H7" s="142" t="s">
        <v>210</v>
      </c>
      <c r="I7" s="142" t="s">
        <v>193</v>
      </c>
      <c r="K7" s="142" t="s">
        <v>219</v>
      </c>
      <c r="N7" s="142" t="s">
        <v>196</v>
      </c>
      <c r="O7" s="142"/>
      <c r="P7" s="142"/>
      <c r="Q7" s="142"/>
      <c r="R7" s="144" t="s">
        <v>201</v>
      </c>
    </row>
    <row r="8" spans="2:17" ht="12.75">
      <c r="B8" s="142"/>
      <c r="C8" s="142"/>
      <c r="E8" s="142"/>
      <c r="F8" s="142"/>
      <c r="G8" s="142"/>
      <c r="H8" s="145" t="s">
        <v>212</v>
      </c>
      <c r="I8" s="142"/>
      <c r="K8" s="142" t="s">
        <v>194</v>
      </c>
      <c r="N8" s="142" t="s">
        <v>197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198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199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216</v>
      </c>
    </row>
    <row r="13" spans="2:20" ht="12.75">
      <c r="B13" t="s">
        <v>202</v>
      </c>
      <c r="T13" s="145" t="s">
        <v>217</v>
      </c>
    </row>
    <row r="14" spans="2:3" ht="12.75">
      <c r="B14" t="s">
        <v>203</v>
      </c>
      <c r="C14" t="s">
        <v>204</v>
      </c>
    </row>
    <row r="15" spans="4:20" ht="12.75">
      <c r="D15" s="146" t="s">
        <v>205</v>
      </c>
      <c r="T15" s="145" t="s">
        <v>218</v>
      </c>
    </row>
    <row r="16" ht="12.75">
      <c r="G16" t="s">
        <v>206</v>
      </c>
    </row>
    <row r="17" ht="12.75">
      <c r="H17" t="s">
        <v>206</v>
      </c>
    </row>
    <row r="18" ht="12.75">
      <c r="I18" t="s">
        <v>206</v>
      </c>
    </row>
    <row r="20" spans="8:15" ht="12.75">
      <c r="H20" t="s">
        <v>213</v>
      </c>
      <c r="O20" t="s">
        <v>213</v>
      </c>
    </row>
    <row r="21" spans="8:15" ht="12.75">
      <c r="H21" t="s">
        <v>215</v>
      </c>
      <c r="O21" t="s">
        <v>214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41" sqref="B41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293</v>
      </c>
      <c r="B1" s="181"/>
    </row>
    <row r="3" spans="1:7" ht="12.75">
      <c r="A3" t="s">
        <v>283</v>
      </c>
      <c r="B3" s="97" t="s">
        <v>294</v>
      </c>
      <c r="C3" t="s">
        <v>285</v>
      </c>
      <c r="D3" t="s">
        <v>296</v>
      </c>
      <c r="E3" t="s">
        <v>295</v>
      </c>
      <c r="G3" t="s">
        <v>301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282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282</v>
      </c>
    </row>
    <row r="25" spans="1:6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316</v>
      </c>
    </row>
    <row r="26" spans="1:9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346</v>
      </c>
      <c r="I26" s="222" t="s">
        <v>351</v>
      </c>
    </row>
    <row r="27" spans="1:9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346</v>
      </c>
      <c r="I27" s="222"/>
    </row>
    <row r="28" spans="1:9" ht="12.75">
      <c r="A28">
        <v>23</v>
      </c>
      <c r="B28" s="107" t="s">
        <v>324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288</v>
      </c>
      <c r="C30">
        <v>5326</v>
      </c>
      <c r="D30" s="185" t="s">
        <v>24</v>
      </c>
      <c r="E30" s="178" t="s">
        <v>287</v>
      </c>
      <c r="G30">
        <f>C30/2</f>
        <v>2663</v>
      </c>
    </row>
    <row r="32" spans="2:7" ht="12.75">
      <c r="B32" s="159" t="s">
        <v>298</v>
      </c>
      <c r="C32" s="159">
        <v>2019</v>
      </c>
      <c r="D32" s="185" t="s">
        <v>289</v>
      </c>
      <c r="G32">
        <f>C32/2</f>
        <v>1009.5</v>
      </c>
    </row>
    <row r="33" spans="1:7" ht="12.75">
      <c r="A33">
        <v>23</v>
      </c>
      <c r="B33" s="159" t="s">
        <v>288</v>
      </c>
      <c r="C33">
        <f>2019+1903+898+480+700+689+405</f>
        <v>7094</v>
      </c>
      <c r="D33" s="185" t="s">
        <v>289</v>
      </c>
      <c r="E33" s="10" t="s">
        <v>317</v>
      </c>
      <c r="G33" s="181">
        <f>C33/2</f>
        <v>3547</v>
      </c>
    </row>
    <row r="39" spans="1:2" ht="12.75">
      <c r="A39" t="s">
        <v>399</v>
      </c>
      <c r="B39" t="s">
        <v>400</v>
      </c>
    </row>
    <row r="40" ht="12.75">
      <c r="B40" t="s">
        <v>401</v>
      </c>
    </row>
    <row r="41" ht="12.75">
      <c r="B41" t="s">
        <v>402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28">
      <selection activeCell="E58" sqref="E58"/>
    </sheetView>
  </sheetViews>
  <sheetFormatPr defaultColWidth="9.140625" defaultRowHeight="12.75"/>
  <cols>
    <col min="2" max="2" width="6.7109375" style="0" customWidth="1"/>
    <col min="3" max="3" width="13.8515625" style="0" customWidth="1"/>
    <col min="4" max="4" width="14.421875" style="0" customWidth="1"/>
    <col min="5" max="6" width="13.00390625" style="0" customWidth="1"/>
    <col min="7" max="7" width="13.7109375" style="0" customWidth="1"/>
    <col min="8" max="8" width="15.140625" style="0" customWidth="1"/>
    <col min="9" max="9" width="11.7109375" style="0" customWidth="1"/>
    <col min="10" max="10" width="12.00390625" style="0" customWidth="1"/>
  </cols>
  <sheetData>
    <row r="1" spans="5:7" ht="12.75">
      <c r="E1" s="4" t="s">
        <v>127</v>
      </c>
      <c r="F1" s="4" t="s">
        <v>135</v>
      </c>
      <c r="G1" s="4" t="s">
        <v>136</v>
      </c>
    </row>
    <row r="2" spans="1:8" ht="12.75">
      <c r="A2" s="181" t="s">
        <v>297</v>
      </c>
      <c r="C2" t="s">
        <v>421</v>
      </c>
      <c r="E2" s="261">
        <v>698300</v>
      </c>
      <c r="F2" s="261">
        <v>930</v>
      </c>
      <c r="G2" s="261">
        <v>22800</v>
      </c>
      <c r="H2" s="8"/>
    </row>
    <row r="3" spans="3:8" ht="12.75">
      <c r="C3" t="s">
        <v>422</v>
      </c>
      <c r="E3" s="4">
        <f>E4-E2</f>
        <v>103700</v>
      </c>
      <c r="F3" s="4"/>
      <c r="G3" s="4">
        <v>3400</v>
      </c>
      <c r="H3" t="s">
        <v>427</v>
      </c>
    </row>
    <row r="4" spans="3:7" ht="12.75">
      <c r="C4" t="s">
        <v>423</v>
      </c>
      <c r="E4" s="4">
        <v>802000</v>
      </c>
      <c r="F4" s="4"/>
      <c r="G4" s="4">
        <f>G2+G3</f>
        <v>26200</v>
      </c>
    </row>
    <row r="5" spans="3:10" ht="12.75">
      <c r="C5" t="s">
        <v>424</v>
      </c>
      <c r="E5" s="5">
        <f>'BLM chambers '!I13+50*183</f>
        <v>800430</v>
      </c>
      <c r="F5" s="4"/>
      <c r="G5" s="5">
        <f>'BLM chambers '!I16+50*6</f>
        <v>26130</v>
      </c>
      <c r="J5" s="191">
        <f>50*183</f>
        <v>9150</v>
      </c>
    </row>
    <row r="6" spans="5:7" ht="12.75">
      <c r="E6" s="4"/>
      <c r="F6" s="4"/>
      <c r="G6" s="4"/>
    </row>
    <row r="7" spans="3:7" ht="12.75">
      <c r="C7" t="s">
        <v>425</v>
      </c>
      <c r="E7" s="4">
        <f>E57</f>
        <v>658623</v>
      </c>
      <c r="F7" s="4">
        <v>948</v>
      </c>
      <c r="G7" s="4">
        <f>E77</f>
        <v>27226</v>
      </c>
    </row>
    <row r="8" spans="5:7" ht="12.75">
      <c r="E8" s="4"/>
      <c r="F8" s="4"/>
      <c r="G8" s="4"/>
    </row>
    <row r="9" spans="3:7" ht="12.75">
      <c r="C9" t="s">
        <v>426</v>
      </c>
      <c r="E9" s="4">
        <f>E4-E7</f>
        <v>143377</v>
      </c>
      <c r="F9" s="4"/>
      <c r="G9" s="4">
        <f>G4-G7</f>
        <v>-1026</v>
      </c>
    </row>
    <row r="12" spans="3:9" ht="12.75">
      <c r="C12" s="43" t="s">
        <v>129</v>
      </c>
      <c r="D12" s="97" t="s">
        <v>130</v>
      </c>
      <c r="E12" s="41" t="s">
        <v>131</v>
      </c>
      <c r="F12" s="41" t="s">
        <v>134</v>
      </c>
      <c r="G12" s="41" t="s">
        <v>132</v>
      </c>
      <c r="H12" s="41" t="s">
        <v>133</v>
      </c>
      <c r="I12" s="184" t="s">
        <v>283</v>
      </c>
    </row>
    <row r="13" spans="2:8" ht="12.75">
      <c r="B13" t="s">
        <v>220</v>
      </c>
      <c r="C13" s="175" t="s">
        <v>127</v>
      </c>
      <c r="D13" s="175"/>
      <c r="E13" s="175"/>
      <c r="F13" s="175"/>
      <c r="G13" s="175"/>
      <c r="H13" s="175"/>
    </row>
    <row r="14" spans="2:8" ht="12.75">
      <c r="B14">
        <f>SUM(E16:E20,E65,E72:E73)</f>
        <v>47444</v>
      </c>
      <c r="C14" s="41"/>
      <c r="D14" s="41" t="s">
        <v>139</v>
      </c>
      <c r="E14" s="41">
        <v>9300</v>
      </c>
      <c r="F14" s="41"/>
      <c r="G14" s="41">
        <v>9170</v>
      </c>
      <c r="H14" s="41"/>
    </row>
    <row r="15" spans="2:8" ht="12.75">
      <c r="B15" t="s">
        <v>221</v>
      </c>
      <c r="C15" s="41"/>
      <c r="D15" s="41"/>
      <c r="E15" s="41">
        <v>0</v>
      </c>
      <c r="F15" s="41"/>
      <c r="G15" s="41">
        <v>103</v>
      </c>
      <c r="H15" s="41"/>
    </row>
    <row r="16" spans="2:9" ht="12.75">
      <c r="B16">
        <f>SUM(E21:E26)</f>
        <v>52230</v>
      </c>
      <c r="C16" s="41"/>
      <c r="D16" s="41" t="s">
        <v>137</v>
      </c>
      <c r="E16" s="41">
        <v>14600</v>
      </c>
      <c r="F16" s="41" t="s">
        <v>91</v>
      </c>
      <c r="G16" s="82">
        <f>2340+6000+114+7370</f>
        <v>15824</v>
      </c>
      <c r="H16" s="41" t="s">
        <v>106</v>
      </c>
      <c r="I16">
        <v>1</v>
      </c>
    </row>
    <row r="17" spans="1:9" ht="12.75">
      <c r="A17" t="s">
        <v>283</v>
      </c>
      <c r="C17" s="41"/>
      <c r="D17" s="41"/>
      <c r="E17" s="41">
        <v>0</v>
      </c>
      <c r="F17" s="41"/>
      <c r="G17" s="82"/>
      <c r="H17" s="41"/>
      <c r="I17">
        <v>2</v>
      </c>
    </row>
    <row r="18" spans="3:9" ht="12.75">
      <c r="C18" s="41"/>
      <c r="D18" s="41"/>
      <c r="E18" s="41">
        <v>0</v>
      </c>
      <c r="F18" s="41"/>
      <c r="G18" s="82"/>
      <c r="H18" s="41"/>
      <c r="I18">
        <v>3</v>
      </c>
    </row>
    <row r="19" spans="3:9" ht="12.75">
      <c r="C19" s="41" t="s">
        <v>143</v>
      </c>
      <c r="D19" s="41" t="s">
        <v>128</v>
      </c>
      <c r="E19" s="41">
        <v>10000</v>
      </c>
      <c r="F19" s="41" t="s">
        <v>91</v>
      </c>
      <c r="G19" s="82">
        <v>10000</v>
      </c>
      <c r="H19" s="41" t="s">
        <v>106</v>
      </c>
      <c r="I19">
        <v>4</v>
      </c>
    </row>
    <row r="20" spans="3:9" ht="12.75">
      <c r="C20" s="41"/>
      <c r="D20" s="41" t="s">
        <v>140</v>
      </c>
      <c r="E20" s="41">
        <v>10740</v>
      </c>
      <c r="F20" s="41" t="s">
        <v>91</v>
      </c>
      <c r="G20" s="82"/>
      <c r="H20" s="41"/>
      <c r="I20">
        <v>5</v>
      </c>
    </row>
    <row r="21" spans="3:11" ht="12.75">
      <c r="C21" s="41" t="s">
        <v>141</v>
      </c>
      <c r="D21" s="41" t="s">
        <v>142</v>
      </c>
      <c r="E21" s="41">
        <v>11170</v>
      </c>
      <c r="F21" s="41" t="s">
        <v>91</v>
      </c>
      <c r="G21" s="82"/>
      <c r="H21" s="41"/>
      <c r="I21">
        <v>5</v>
      </c>
      <c r="K21" t="s">
        <v>157</v>
      </c>
    </row>
    <row r="22" spans="3:9" ht="12.75">
      <c r="C22" s="41"/>
      <c r="D22" s="41"/>
      <c r="E22" s="41">
        <v>0</v>
      </c>
      <c r="F22" s="41"/>
      <c r="G22" s="82"/>
      <c r="H22" s="41"/>
      <c r="I22">
        <v>6</v>
      </c>
    </row>
    <row r="23" spans="3:11" ht="12.75">
      <c r="C23" s="41" t="s">
        <v>156</v>
      </c>
      <c r="D23" s="41" t="s">
        <v>155</v>
      </c>
      <c r="E23" s="41">
        <v>12730</v>
      </c>
      <c r="F23" s="41" t="s">
        <v>91</v>
      </c>
      <c r="G23" s="82"/>
      <c r="H23" s="41"/>
      <c r="I23">
        <v>7</v>
      </c>
      <c r="K23" t="s">
        <v>158</v>
      </c>
    </row>
    <row r="24" spans="3:9" ht="12.75">
      <c r="C24" s="41"/>
      <c r="D24" s="41"/>
      <c r="E24" s="41">
        <v>0</v>
      </c>
      <c r="F24" s="41"/>
      <c r="G24" s="82"/>
      <c r="H24" s="41"/>
      <c r="I24">
        <v>8</v>
      </c>
    </row>
    <row r="25" spans="3:9" ht="12.75">
      <c r="C25" s="41" t="s">
        <v>159</v>
      </c>
      <c r="D25" s="41" t="s">
        <v>161</v>
      </c>
      <c r="E25" s="41">
        <v>15100</v>
      </c>
      <c r="F25" s="41" t="s">
        <v>91</v>
      </c>
      <c r="G25" s="82"/>
      <c r="H25" s="41"/>
      <c r="I25">
        <v>9</v>
      </c>
    </row>
    <row r="26" spans="2:12" ht="12.75">
      <c r="B26" t="s">
        <v>250</v>
      </c>
      <c r="C26" s="41" t="s">
        <v>160</v>
      </c>
      <c r="D26" s="41" t="s">
        <v>222</v>
      </c>
      <c r="E26" s="41">
        <v>13230</v>
      </c>
      <c r="F26" s="41" t="s">
        <v>91</v>
      </c>
      <c r="G26" s="82"/>
      <c r="H26" s="41"/>
      <c r="I26">
        <v>9</v>
      </c>
      <c r="L26" s="107">
        <f>SUM(E14:E40)-2220</f>
        <v>355355</v>
      </c>
    </row>
    <row r="27" spans="3:12" ht="12.75">
      <c r="C27" s="41" t="s">
        <v>223</v>
      </c>
      <c r="D27" s="41" t="s">
        <v>224</v>
      </c>
      <c r="E27" s="41">
        <v>15330</v>
      </c>
      <c r="F27" s="41" t="s">
        <v>91</v>
      </c>
      <c r="G27" s="82"/>
      <c r="H27" s="41"/>
      <c r="I27">
        <v>10</v>
      </c>
      <c r="L27" s="107">
        <f>SUM(E41:E44)</f>
        <v>49910</v>
      </c>
    </row>
    <row r="28" spans="3:12" ht="12.75">
      <c r="C28" s="41" t="s">
        <v>246</v>
      </c>
      <c r="D28" s="41" t="s">
        <v>247</v>
      </c>
      <c r="E28" s="41">
        <v>18380</v>
      </c>
      <c r="F28" s="41" t="s">
        <v>91</v>
      </c>
      <c r="G28" s="82"/>
      <c r="H28" s="41"/>
      <c r="I28">
        <v>11</v>
      </c>
      <c r="L28" s="107">
        <f>SUM(L26:L27)</f>
        <v>405265</v>
      </c>
    </row>
    <row r="29" spans="3:9" ht="12.75">
      <c r="C29" s="41" t="s">
        <v>248</v>
      </c>
      <c r="D29" s="41" t="s">
        <v>258</v>
      </c>
      <c r="E29" s="41">
        <v>25000</v>
      </c>
      <c r="F29" s="41" t="s">
        <v>24</v>
      </c>
      <c r="G29" s="82"/>
      <c r="H29" s="41"/>
      <c r="I29">
        <v>12</v>
      </c>
    </row>
    <row r="30" spans="3:9" ht="12.75">
      <c r="C30" s="41" t="s">
        <v>257</v>
      </c>
      <c r="D30" s="41" t="s">
        <v>249</v>
      </c>
      <c r="E30" s="41">
        <v>25000</v>
      </c>
      <c r="F30" s="41" t="s">
        <v>24</v>
      </c>
      <c r="G30" s="82"/>
      <c r="H30" s="41"/>
      <c r="I30">
        <v>13</v>
      </c>
    </row>
    <row r="31" spans="2:9" ht="12.75">
      <c r="B31" t="s">
        <v>270</v>
      </c>
      <c r="C31" s="41" t="s">
        <v>259</v>
      </c>
      <c r="D31" s="41" t="s">
        <v>265</v>
      </c>
      <c r="E31" s="41">
        <v>25000</v>
      </c>
      <c r="F31" s="41" t="s">
        <v>24</v>
      </c>
      <c r="G31" s="82"/>
      <c r="H31" s="41"/>
      <c r="I31">
        <v>14</v>
      </c>
    </row>
    <row r="32" spans="3:9" ht="12.75">
      <c r="C32" s="41"/>
      <c r="D32" s="41"/>
      <c r="E32" s="41">
        <v>0</v>
      </c>
      <c r="F32" s="41"/>
      <c r="G32" s="82"/>
      <c r="H32" s="41"/>
      <c r="I32">
        <v>15</v>
      </c>
    </row>
    <row r="33" spans="3:9" ht="12.75">
      <c r="C33" s="41" t="s">
        <v>260</v>
      </c>
      <c r="D33" s="41" t="s">
        <v>266</v>
      </c>
      <c r="E33" s="41">
        <v>23075</v>
      </c>
      <c r="F33" s="41" t="s">
        <v>24</v>
      </c>
      <c r="G33" s="82"/>
      <c r="H33" s="41"/>
      <c r="I33">
        <v>16</v>
      </c>
    </row>
    <row r="34" spans="3:9" ht="12.75">
      <c r="C34" s="41" t="s">
        <v>263</v>
      </c>
      <c r="D34" s="41" t="s">
        <v>264</v>
      </c>
      <c r="E34" s="41">
        <v>21760</v>
      </c>
      <c r="F34" s="41" t="s">
        <v>24</v>
      </c>
      <c r="G34" s="82"/>
      <c r="H34" s="41"/>
      <c r="I34">
        <v>17</v>
      </c>
    </row>
    <row r="35" spans="2:9" ht="12.75">
      <c r="B35" t="s">
        <v>271</v>
      </c>
      <c r="C35" s="41" t="s">
        <v>268</v>
      </c>
      <c r="D35" s="41" t="s">
        <v>269</v>
      </c>
      <c r="E35" s="41">
        <v>25000</v>
      </c>
      <c r="F35" s="41" t="s">
        <v>24</v>
      </c>
      <c r="G35" s="82"/>
      <c r="H35" s="41"/>
      <c r="I35">
        <v>18</v>
      </c>
    </row>
    <row r="36" spans="3:9" ht="12.75">
      <c r="C36" s="41" t="s">
        <v>273</v>
      </c>
      <c r="D36" s="41" t="s">
        <v>274</v>
      </c>
      <c r="E36" s="41">
        <v>25000</v>
      </c>
      <c r="F36" s="41" t="s">
        <v>24</v>
      </c>
      <c r="G36" s="82"/>
      <c r="H36" s="41" t="s">
        <v>278</v>
      </c>
      <c r="I36">
        <v>19</v>
      </c>
    </row>
    <row r="37" spans="3:9" ht="12.75">
      <c r="C37" s="178" t="s">
        <v>275</v>
      </c>
      <c r="D37" s="41" t="s">
        <v>276</v>
      </c>
      <c r="E37" s="178">
        <v>25000</v>
      </c>
      <c r="F37" s="41" t="s">
        <v>24</v>
      </c>
      <c r="G37" s="178" t="s">
        <v>282</v>
      </c>
      <c r="H37" s="41" t="s">
        <v>277</v>
      </c>
      <c r="I37">
        <v>20</v>
      </c>
    </row>
    <row r="38" spans="3:9" ht="12.75">
      <c r="C38" s="178"/>
      <c r="D38" s="41"/>
      <c r="E38" s="178">
        <v>0</v>
      </c>
      <c r="F38" s="41"/>
      <c r="G38" s="178"/>
      <c r="H38" s="41"/>
      <c r="I38">
        <v>21</v>
      </c>
    </row>
    <row r="39" spans="3:9" ht="12.75">
      <c r="C39" s="178" t="s">
        <v>279</v>
      </c>
      <c r="D39" s="41" t="s">
        <v>280</v>
      </c>
      <c r="E39" s="178">
        <v>20160</v>
      </c>
      <c r="F39" s="41" t="s">
        <v>24</v>
      </c>
      <c r="G39" s="178" t="s">
        <v>282</v>
      </c>
      <c r="H39" s="41" t="s">
        <v>281</v>
      </c>
      <c r="I39">
        <v>22</v>
      </c>
    </row>
    <row r="40" spans="3:9" ht="12.75">
      <c r="C40" s="178" t="s">
        <v>325</v>
      </c>
      <c r="D40" s="41" t="s">
        <v>280</v>
      </c>
      <c r="E40" s="178">
        <v>12000</v>
      </c>
      <c r="F40" s="41" t="s">
        <v>24</v>
      </c>
      <c r="G40" s="178" t="s">
        <v>282</v>
      </c>
      <c r="H40" s="41" t="s">
        <v>281</v>
      </c>
      <c r="I40" s="15">
        <v>22</v>
      </c>
    </row>
    <row r="41" spans="2:9" ht="12.75">
      <c r="B41" t="s">
        <v>392</v>
      </c>
      <c r="C41" s="82" t="s">
        <v>326</v>
      </c>
      <c r="D41" s="41" t="s">
        <v>327</v>
      </c>
      <c r="E41" s="183">
        <v>15250</v>
      </c>
      <c r="F41" s="41" t="s">
        <v>24</v>
      </c>
      <c r="G41" s="200" t="s">
        <v>316</v>
      </c>
      <c r="H41" s="41" t="s">
        <v>328</v>
      </c>
      <c r="I41">
        <v>23</v>
      </c>
    </row>
    <row r="42" spans="3:9" ht="12.75">
      <c r="C42" s="82" t="s">
        <v>329</v>
      </c>
      <c r="D42" s="41" t="s">
        <v>327</v>
      </c>
      <c r="E42" s="183">
        <v>9660</v>
      </c>
      <c r="F42" s="41" t="s">
        <v>24</v>
      </c>
      <c r="G42" s="200" t="s">
        <v>316</v>
      </c>
      <c r="H42" s="41" t="s">
        <v>328</v>
      </c>
      <c r="I42">
        <v>23</v>
      </c>
    </row>
    <row r="43" spans="1:9" ht="12.75">
      <c r="A43">
        <v>24</v>
      </c>
      <c r="C43" s="82" t="s">
        <v>347</v>
      </c>
      <c r="D43" s="41" t="s">
        <v>348</v>
      </c>
      <c r="E43" s="183">
        <v>12400</v>
      </c>
      <c r="F43" s="41" t="s">
        <v>24</v>
      </c>
      <c r="G43" s="200" t="s">
        <v>316</v>
      </c>
      <c r="H43" s="41" t="s">
        <v>349</v>
      </c>
      <c r="I43">
        <v>24</v>
      </c>
    </row>
    <row r="44" spans="1:12" ht="12.75">
      <c r="A44">
        <v>24</v>
      </c>
      <c r="C44" s="82" t="s">
        <v>350</v>
      </c>
      <c r="D44" s="41" t="s">
        <v>348</v>
      </c>
      <c r="E44" s="183">
        <v>12600</v>
      </c>
      <c r="F44" s="41" t="s">
        <v>24</v>
      </c>
      <c r="G44" s="200" t="s">
        <v>316</v>
      </c>
      <c r="H44" s="41" t="s">
        <v>349</v>
      </c>
      <c r="I44">
        <v>24</v>
      </c>
      <c r="L44" s="222" t="s">
        <v>351</v>
      </c>
    </row>
    <row r="45" spans="1:12" ht="12.75">
      <c r="A45">
        <v>25</v>
      </c>
      <c r="C45" s="82" t="s">
        <v>385</v>
      </c>
      <c r="D45" s="41" t="s">
        <v>386</v>
      </c>
      <c r="E45" s="183">
        <v>13500</v>
      </c>
      <c r="F45" s="41" t="s">
        <v>24</v>
      </c>
      <c r="G45" s="200" t="s">
        <v>316</v>
      </c>
      <c r="H45" s="41" t="s">
        <v>387</v>
      </c>
      <c r="I45">
        <v>25</v>
      </c>
      <c r="L45" s="222"/>
    </row>
    <row r="46" spans="1:12" ht="12.75">
      <c r="A46">
        <v>25</v>
      </c>
      <c r="C46" s="82" t="s">
        <v>388</v>
      </c>
      <c r="D46" s="41" t="s">
        <v>386</v>
      </c>
      <c r="E46" s="183">
        <v>12000</v>
      </c>
      <c r="F46" s="41" t="s">
        <v>24</v>
      </c>
      <c r="G46" s="200" t="s">
        <v>316</v>
      </c>
      <c r="H46" s="41" t="s">
        <v>387</v>
      </c>
      <c r="I46">
        <v>25</v>
      </c>
      <c r="L46" s="222"/>
    </row>
    <row r="47" spans="1:12" ht="12.75">
      <c r="A47">
        <v>25</v>
      </c>
      <c r="C47" s="82" t="s">
        <v>389</v>
      </c>
      <c r="D47" s="41" t="s">
        <v>390</v>
      </c>
      <c r="E47" s="183">
        <v>10000</v>
      </c>
      <c r="F47" s="41" t="s">
        <v>24</v>
      </c>
      <c r="G47" s="200" t="s">
        <v>316</v>
      </c>
      <c r="H47" s="41" t="s">
        <v>391</v>
      </c>
      <c r="I47">
        <v>26</v>
      </c>
      <c r="L47" s="222"/>
    </row>
    <row r="48" spans="1:12" ht="12.75">
      <c r="A48">
        <v>26</v>
      </c>
      <c r="C48" s="82" t="s">
        <v>403</v>
      </c>
      <c r="D48" s="41" t="s">
        <v>405</v>
      </c>
      <c r="E48" s="82">
        <f>13580+16127</f>
        <v>29707</v>
      </c>
      <c r="F48" s="41" t="s">
        <v>91</v>
      </c>
      <c r="G48" s="200" t="s">
        <v>316</v>
      </c>
      <c r="H48" s="41" t="s">
        <v>404</v>
      </c>
      <c r="I48">
        <v>27</v>
      </c>
      <c r="L48" s="222"/>
    </row>
    <row r="49" spans="1:12" ht="12.75">
      <c r="A49">
        <v>28</v>
      </c>
      <c r="B49" t="s">
        <v>409</v>
      </c>
      <c r="C49" s="82" t="s">
        <v>414</v>
      </c>
      <c r="D49" s="41" t="s">
        <v>407</v>
      </c>
      <c r="E49" s="82">
        <f>6030+24820</f>
        <v>30850</v>
      </c>
      <c r="F49" s="41" t="s">
        <v>91</v>
      </c>
      <c r="G49" s="200" t="s">
        <v>316</v>
      </c>
      <c r="H49" s="41" t="s">
        <v>408</v>
      </c>
      <c r="I49">
        <v>28</v>
      </c>
      <c r="L49" s="222"/>
    </row>
    <row r="50" spans="1:12" ht="12.75">
      <c r="A50">
        <v>29</v>
      </c>
      <c r="C50" s="82" t="s">
        <v>411</v>
      </c>
      <c r="D50" s="41" t="s">
        <v>412</v>
      </c>
      <c r="E50" s="82">
        <v>19160</v>
      </c>
      <c r="F50" s="41" t="s">
        <v>91</v>
      </c>
      <c r="G50" s="200"/>
      <c r="H50" s="41" t="s">
        <v>413</v>
      </c>
      <c r="I50">
        <v>29</v>
      </c>
      <c r="L50" s="222"/>
    </row>
    <row r="51" spans="1:12" ht="12.75">
      <c r="A51">
        <v>30</v>
      </c>
      <c r="C51" s="82" t="s">
        <v>417</v>
      </c>
      <c r="D51" s="41" t="s">
        <v>418</v>
      </c>
      <c r="E51" s="82">
        <v>25470</v>
      </c>
      <c r="F51" s="41" t="s">
        <v>91</v>
      </c>
      <c r="G51" s="200"/>
      <c r="H51" s="41" t="s">
        <v>419</v>
      </c>
      <c r="I51">
        <v>30</v>
      </c>
      <c r="L51" s="222"/>
    </row>
    <row r="52" spans="3:12" ht="12.75">
      <c r="C52" s="82" t="s">
        <v>428</v>
      </c>
      <c r="D52" s="41" t="s">
        <v>429</v>
      </c>
      <c r="E52" s="82">
        <v>20000</v>
      </c>
      <c r="F52" s="41" t="s">
        <v>434</v>
      </c>
      <c r="G52" s="200"/>
      <c r="H52" s="41" t="s">
        <v>430</v>
      </c>
      <c r="I52">
        <v>32</v>
      </c>
      <c r="L52" s="222"/>
    </row>
    <row r="53" spans="3:12" ht="12.75">
      <c r="C53" s="82" t="s">
        <v>431</v>
      </c>
      <c r="D53" s="41" t="s">
        <v>432</v>
      </c>
      <c r="E53" s="82">
        <v>27450</v>
      </c>
      <c r="F53" s="41" t="s">
        <v>434</v>
      </c>
      <c r="G53" s="200"/>
      <c r="H53" s="41" t="s">
        <v>433</v>
      </c>
      <c r="I53">
        <v>33</v>
      </c>
      <c r="L53" s="222"/>
    </row>
    <row r="54" spans="3:12" ht="12.75">
      <c r="C54" s="82" t="s">
        <v>435</v>
      </c>
      <c r="D54" s="41" t="s">
        <v>437</v>
      </c>
      <c r="E54" s="82">
        <v>20360</v>
      </c>
      <c r="F54" s="41" t="s">
        <v>91</v>
      </c>
      <c r="G54" s="200"/>
      <c r="H54" s="41" t="s">
        <v>436</v>
      </c>
      <c r="I54">
        <v>34</v>
      </c>
      <c r="L54" s="222"/>
    </row>
    <row r="55" spans="3:12" ht="12.75">
      <c r="C55" s="82" t="s">
        <v>438</v>
      </c>
      <c r="D55" s="41" t="s">
        <v>440</v>
      </c>
      <c r="E55" s="82">
        <f>8237+14916</f>
        <v>23153</v>
      </c>
      <c r="F55" s="41" t="s">
        <v>434</v>
      </c>
      <c r="G55" s="200"/>
      <c r="H55" s="41" t="s">
        <v>439</v>
      </c>
      <c r="L55" s="222"/>
    </row>
    <row r="56" spans="3:12" ht="12.75">
      <c r="C56" s="82" t="s">
        <v>441</v>
      </c>
      <c r="D56" s="41" t="s">
        <v>439</v>
      </c>
      <c r="E56" s="82">
        <v>19488</v>
      </c>
      <c r="F56" s="41" t="s">
        <v>434</v>
      </c>
      <c r="G56" s="200"/>
      <c r="H56" s="41" t="s">
        <v>442</v>
      </c>
      <c r="L56" s="222"/>
    </row>
    <row r="57" spans="3:12" ht="12.75">
      <c r="C57" s="107" t="s">
        <v>267</v>
      </c>
      <c r="D57" s="107"/>
      <c r="E57" s="107">
        <f>SUM(E14:E56)</f>
        <v>658623</v>
      </c>
      <c r="F57" s="41" t="s">
        <v>24</v>
      </c>
      <c r="G57" s="82"/>
      <c r="H57" s="41">
        <v>26.06</v>
      </c>
      <c r="I57">
        <v>26</v>
      </c>
      <c r="J57" s="206">
        <f>E57/183</f>
        <v>3599.032786885246</v>
      </c>
      <c r="L57" s="222">
        <f>SUM(E37:E44)</f>
        <v>107070</v>
      </c>
    </row>
    <row r="58" spans="3:8" ht="12.75">
      <c r="C58" s="180"/>
      <c r="D58" s="180"/>
      <c r="E58" s="180"/>
      <c r="F58" s="41"/>
      <c r="G58" s="82"/>
      <c r="H58" s="41"/>
    </row>
    <row r="59" spans="3:12" s="15" customFormat="1" ht="12.75">
      <c r="C59" s="180"/>
      <c r="D59" s="180"/>
      <c r="E59" s="180"/>
      <c r="F59" s="82"/>
      <c r="G59" s="82"/>
      <c r="H59" s="82"/>
      <c r="L59" s="200" t="s">
        <v>316</v>
      </c>
    </row>
    <row r="60" spans="3:12" ht="12.75">
      <c r="C60" s="174" t="s">
        <v>288</v>
      </c>
      <c r="D60" s="174"/>
      <c r="E60" s="180">
        <v>347244</v>
      </c>
      <c r="F60" s="41" t="s">
        <v>24</v>
      </c>
      <c r="G60" s="178" t="s">
        <v>287</v>
      </c>
      <c r="H60" s="41"/>
      <c r="J60" s="191">
        <f>E60/183</f>
        <v>1897.5081967213114</v>
      </c>
      <c r="L60" s="183">
        <v>15250</v>
      </c>
    </row>
    <row r="61" spans="3:12" ht="12.75">
      <c r="C61" s="174" t="s">
        <v>288</v>
      </c>
      <c r="D61" s="174" t="s">
        <v>274</v>
      </c>
      <c r="E61" s="174">
        <v>169859</v>
      </c>
      <c r="F61" s="41" t="s">
        <v>289</v>
      </c>
      <c r="G61" s="82"/>
      <c r="H61" s="82"/>
      <c r="J61" s="191">
        <f>E61/183</f>
        <v>928.1912568306011</v>
      </c>
      <c r="L61" s="183">
        <v>9660</v>
      </c>
    </row>
    <row r="62" spans="3:12" ht="12.75">
      <c r="C62" s="174" t="s">
        <v>288</v>
      </c>
      <c r="D62" s="174"/>
      <c r="E62" s="201">
        <f>346854+9660+15250+12400+12600+13500+12000+10000</f>
        <v>432264</v>
      </c>
      <c r="F62" s="41" t="s">
        <v>289</v>
      </c>
      <c r="G62" s="178" t="s">
        <v>317</v>
      </c>
      <c r="H62" s="82"/>
      <c r="J62" s="192">
        <f>E62/183</f>
        <v>2362.098360655738</v>
      </c>
      <c r="L62" s="183">
        <v>12400</v>
      </c>
    </row>
    <row r="63" spans="3:12" s="15" customFormat="1" ht="12.75">
      <c r="C63" s="180"/>
      <c r="D63" s="180"/>
      <c r="E63" s="180"/>
      <c r="F63" s="82"/>
      <c r="G63" s="82"/>
      <c r="H63" s="82"/>
      <c r="L63" s="183">
        <v>12600</v>
      </c>
    </row>
    <row r="64" spans="3:12" ht="12.75">
      <c r="C64" s="175" t="s">
        <v>135</v>
      </c>
      <c r="D64" s="175"/>
      <c r="E64" s="175"/>
      <c r="F64" s="175"/>
      <c r="G64" s="175"/>
      <c r="H64" s="175"/>
      <c r="L64" s="183">
        <v>13500</v>
      </c>
    </row>
    <row r="65" spans="3:12" ht="12.75">
      <c r="C65" s="41"/>
      <c r="D65" s="41" t="s">
        <v>137</v>
      </c>
      <c r="E65" s="41">
        <v>948</v>
      </c>
      <c r="F65" s="41" t="s">
        <v>91</v>
      </c>
      <c r="G65" s="82">
        <v>941</v>
      </c>
      <c r="H65" s="41" t="s">
        <v>106</v>
      </c>
      <c r="L65" s="183">
        <v>12000</v>
      </c>
    </row>
    <row r="66" spans="3:8" ht="12.75">
      <c r="C66" s="41"/>
      <c r="D66" s="41"/>
      <c r="E66" s="41"/>
      <c r="F66" s="41"/>
      <c r="G66" s="41"/>
      <c r="H66" s="41"/>
    </row>
    <row r="67" spans="3:8" ht="12.75">
      <c r="C67" s="175" t="s">
        <v>136</v>
      </c>
      <c r="D67" s="175"/>
      <c r="E67" s="175"/>
      <c r="F67" s="175"/>
      <c r="G67" s="175"/>
      <c r="H67" s="175"/>
    </row>
    <row r="68" spans="3:8" ht="12.75">
      <c r="C68" s="41"/>
      <c r="D68" s="41" t="s">
        <v>139</v>
      </c>
      <c r="E68" s="41">
        <v>300</v>
      </c>
      <c r="F68" s="41"/>
      <c r="G68" s="41">
        <v>305</v>
      </c>
      <c r="H68" s="41"/>
    </row>
    <row r="69" spans="3:8" ht="12.75">
      <c r="C69" s="41"/>
      <c r="D69" s="41"/>
      <c r="E69" s="41"/>
      <c r="F69" s="41"/>
      <c r="G69" s="41">
        <v>93</v>
      </c>
      <c r="H69" s="41"/>
    </row>
    <row r="70" spans="3:8" ht="12.75">
      <c r="C70" s="41"/>
      <c r="D70" s="41"/>
      <c r="E70" s="41"/>
      <c r="F70" s="41"/>
      <c r="G70" s="41"/>
      <c r="H70" s="41"/>
    </row>
    <row r="71" spans="3:8" ht="12.75">
      <c r="C71" s="41"/>
      <c r="D71" s="41"/>
      <c r="E71" s="41"/>
      <c r="F71" s="41"/>
      <c r="G71" s="41"/>
      <c r="H71" s="41"/>
    </row>
    <row r="72" spans="3:13" ht="12.75">
      <c r="C72" s="41"/>
      <c r="D72" s="41" t="s">
        <v>138</v>
      </c>
      <c r="E72" s="41">
        <v>606</v>
      </c>
      <c r="F72" s="41" t="s">
        <v>91</v>
      </c>
      <c r="G72" s="82"/>
      <c r="H72" s="41"/>
      <c r="M72">
        <v>26200</v>
      </c>
    </row>
    <row r="73" spans="3:13" ht="12.75">
      <c r="C73" s="41" t="s">
        <v>143</v>
      </c>
      <c r="D73" s="41" t="s">
        <v>128</v>
      </c>
      <c r="E73" s="41">
        <v>10550</v>
      </c>
      <c r="F73" s="41" t="s">
        <v>91</v>
      </c>
      <c r="G73" s="82"/>
      <c r="H73" s="41"/>
      <c r="M73">
        <v>-11150</v>
      </c>
    </row>
    <row r="74" spans="1:13" ht="12.75">
      <c r="A74">
        <v>28</v>
      </c>
      <c r="B74" t="s">
        <v>409</v>
      </c>
      <c r="C74" s="82" t="s">
        <v>406</v>
      </c>
      <c r="D74" s="41" t="s">
        <v>407</v>
      </c>
      <c r="E74" s="82">
        <v>4980</v>
      </c>
      <c r="F74" s="41" t="s">
        <v>91</v>
      </c>
      <c r="G74" s="200" t="s">
        <v>316</v>
      </c>
      <c r="H74" s="41" t="s">
        <v>408</v>
      </c>
      <c r="M74" s="82">
        <v>-4980</v>
      </c>
    </row>
    <row r="75" spans="3:13" ht="12.75">
      <c r="C75" s="82" t="s">
        <v>411</v>
      </c>
      <c r="D75" s="41" t="s">
        <v>412</v>
      </c>
      <c r="E75" s="82">
        <v>8390</v>
      </c>
      <c r="F75" s="41" t="s">
        <v>91</v>
      </c>
      <c r="G75" s="200"/>
      <c r="H75" s="41" t="s">
        <v>413</v>
      </c>
      <c r="M75" s="82">
        <v>-8390</v>
      </c>
    </row>
    <row r="76" spans="3:13" ht="12.75">
      <c r="C76" s="82" t="s">
        <v>420</v>
      </c>
      <c r="D76" s="41" t="s">
        <v>418</v>
      </c>
      <c r="E76" s="82">
        <v>2400</v>
      </c>
      <c r="F76" s="41" t="s">
        <v>91</v>
      </c>
      <c r="G76" s="200"/>
      <c r="H76" s="41" t="s">
        <v>419</v>
      </c>
      <c r="M76" s="9"/>
    </row>
    <row r="77" spans="3:8" ht="12.75">
      <c r="C77" s="81" t="s">
        <v>410</v>
      </c>
      <c r="D77" s="81"/>
      <c r="E77" s="81">
        <f>SUM(E68:E76)</f>
        <v>27226</v>
      </c>
      <c r="F77" s="41"/>
      <c r="G77" s="41"/>
      <c r="H77" s="41"/>
    </row>
    <row r="78" spans="3:8" ht="12.75">
      <c r="C78" s="82"/>
      <c r="D78" s="82"/>
      <c r="E78" s="82"/>
      <c r="F78" s="41"/>
      <c r="G78" s="41"/>
      <c r="H78" s="41"/>
    </row>
    <row r="79" spans="3:10" ht="12.75">
      <c r="C79" s="174" t="s">
        <v>288</v>
      </c>
      <c r="D79" s="174"/>
      <c r="E79" s="174">
        <v>10625</v>
      </c>
      <c r="F79" s="41" t="s">
        <v>24</v>
      </c>
      <c r="G79" s="82"/>
      <c r="H79" s="41"/>
      <c r="J79" s="191">
        <f>E79/6</f>
        <v>1770.8333333333333</v>
      </c>
    </row>
    <row r="80" spans="3:10" ht="12.75">
      <c r="C80" s="174" t="s">
        <v>288</v>
      </c>
      <c r="D80" s="174"/>
      <c r="E80" s="174">
        <v>10604</v>
      </c>
      <c r="F80" s="41" t="s">
        <v>289</v>
      </c>
      <c r="G80" s="82"/>
      <c r="H80" s="41"/>
      <c r="J80" s="192">
        <f>E80/6</f>
        <v>1767.3333333333333</v>
      </c>
    </row>
    <row r="81" spans="3:8" ht="12.75">
      <c r="C81" s="41"/>
      <c r="D81" s="41"/>
      <c r="E81" s="41"/>
      <c r="F81" s="41"/>
      <c r="G81" s="41"/>
      <c r="H81" s="41"/>
    </row>
    <row r="82" spans="3:8" ht="12.75">
      <c r="C82" s="41"/>
      <c r="D82" s="41"/>
      <c r="E82" s="41"/>
      <c r="F82" s="41"/>
      <c r="G82" s="41"/>
      <c r="H82" s="41"/>
    </row>
    <row r="83" spans="3:8" ht="12.75">
      <c r="C83" s="41"/>
      <c r="D83" s="41"/>
      <c r="E83" s="41"/>
      <c r="F83" s="41"/>
      <c r="G83" s="41"/>
      <c r="H83" s="41"/>
    </row>
    <row r="84" spans="3:8" ht="12.75">
      <c r="C84" s="41"/>
      <c r="D84" s="41"/>
      <c r="E84" s="41"/>
      <c r="F84" s="41"/>
      <c r="G84" s="41"/>
      <c r="H84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2006-07-03T07:20:42Z</cp:lastPrinted>
  <dcterms:created xsi:type="dcterms:W3CDTF">2005-04-30T08:59:53Z</dcterms:created>
  <dcterms:modified xsi:type="dcterms:W3CDTF">2006-09-11T09:15:01Z</dcterms:modified>
  <cp:category/>
  <cp:version/>
  <cp:contentType/>
  <cp:contentStatus/>
</cp:coreProperties>
</file>