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341" windowWidth="9750" windowHeight="9525" activeTab="4"/>
  </bookViews>
  <sheets>
    <sheet name="BLM chambers " sheetId="1" r:id="rId1"/>
    <sheet name="Tighteners" sheetId="2" r:id="rId2"/>
    <sheet name="Time to sending" sheetId="3" r:id="rId3"/>
    <sheet name="ceramics" sheetId="4" r:id="rId4"/>
    <sheet name="New order" sheetId="5" r:id="rId5"/>
    <sheet name="Spacers" sheetId="6" r:id="rId6"/>
  </sheets>
  <definedNames>
    <definedName name="_xlnm.Print_Area" localSheetId="0">'BLM chambers '!$A$1:$AN$50</definedName>
    <definedName name="_xlnm.Print_Area" localSheetId="4">'New order'!$A$1:$T$59</definedName>
    <definedName name="_xlnm.Print_Area" localSheetId="1">'Tighteners'!$A$1:$P$27</definedName>
    <definedName name="Z_1E92D746_8DA4_46FE_A015_5B53E5097C4F_.wvu.PrintArea" localSheetId="4" hidden="1">'New order'!$A$1:$T$59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4" hidden="1">'New order'!$A$1:$T$59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comments4.xml><?xml version="1.0" encoding="utf-8"?>
<comments xmlns="http://schemas.openxmlformats.org/spreadsheetml/2006/main">
  <authors>
    <author>grishinv</author>
  </authors>
  <commentList>
    <comment ref="I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1100?
</t>
        </r>
      </text>
    </comment>
  </commentList>
</comments>
</file>

<file path=xl/comments5.xml><?xml version="1.0" encoding="utf-8"?>
<comments xmlns="http://schemas.openxmlformats.org/spreadsheetml/2006/main">
  <authors>
    <author>grishinv</author>
    <author>eholzer</author>
  </authors>
  <commentList>
    <comment ref="A2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2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A2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3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A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C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E5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also with Hole
</t>
        </r>
      </text>
    </comment>
    <comment ref="M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</commentList>
</comments>
</file>

<file path=xl/sharedStrings.xml><?xml version="1.0" encoding="utf-8"?>
<sst xmlns="http://schemas.openxmlformats.org/spreadsheetml/2006/main" count="1041" uniqueCount="511">
  <si>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</si>
  <si>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</si>
  <si>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</si>
  <si>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</si>
  <si>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</si>
  <si>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</si>
  <si>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</si>
  <si>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</si>
  <si>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</si>
  <si>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</si>
  <si>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</si>
  <si>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</si>
  <si>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</si>
  <si>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</si>
  <si>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</si>
  <si>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</si>
  <si>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</si>
  <si>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</si>
  <si>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</si>
  <si>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</si>
  <si>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</si>
  <si>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</si>
  <si>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</si>
  <si>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</si>
  <si>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</si>
  <si>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</si>
  <si>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</si>
  <si>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</si>
  <si>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</si>
  <si>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</si>
  <si>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</si>
  <si>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</si>
  <si>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</si>
  <si>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</si>
  <si>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</si>
  <si>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</si>
  <si>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</si>
  <si>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</si>
  <si>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</si>
  <si>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</si>
  <si>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</si>
  <si>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</si>
  <si>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</si>
  <si>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</si>
  <si>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</si>
  <si>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</si>
  <si>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</si>
  <si>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</si>
  <si>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</si>
  <si>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</si>
  <si>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</si>
  <si>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</si>
  <si>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</si>
  <si>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</si>
  <si>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</si>
  <si>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</si>
  <si>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</si>
  <si>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</si>
  <si>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</si>
  <si>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</si>
  <si>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</si>
  <si>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</si>
  <si>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</si>
  <si>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</si>
  <si>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</si>
  <si>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</si>
  <si>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</si>
  <si>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</si>
  <si>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</si>
  <si>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</si>
  <si>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</si>
  <si>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</si>
  <si>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</si>
  <si>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</si>
  <si>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</si>
  <si>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</si>
  <si>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</si>
  <si>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</si>
  <si>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</si>
  <si>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</si>
  <si>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</si>
  <si>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</si>
  <si>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</si>
  <si>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</si>
  <si>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</si>
  <si>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</si>
  <si>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</si>
  <si>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</si>
  <si>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</si>
  <si>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</si>
  <si>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</si>
  <si>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</si>
  <si>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</si>
  <si>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</si>
  <si>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</si>
  <si>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</si>
  <si>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</si>
  <si>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</si>
  <si>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</si>
  <si>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</si>
  <si>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</si>
  <si>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</si>
  <si>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</si>
  <si>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</si>
  <si>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</si>
  <si>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</si>
  <si>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</si>
  <si>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</si>
  <si>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</si>
  <si>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</si>
  <si>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</si>
  <si>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</si>
  <si>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</si>
  <si>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</si>
  <si>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</si>
  <si>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</si>
  <si>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</si>
  <si>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</si>
  <si>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</si>
  <si>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</si>
  <si>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</si>
  <si>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</si>
  <si>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</si>
  <si>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</si>
  <si>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</si>
  <si>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</si>
  <si>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</si>
  <si>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</si>
  <si>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</si>
  <si>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</si>
  <si>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</si>
  <si>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</si>
  <si>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</si>
  <si>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</si>
  <si>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</si>
  <si>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</si>
  <si>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</si>
  <si>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</si>
  <si>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</si>
  <si>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</si>
  <si>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</si>
  <si>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</si>
  <si>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</si>
  <si>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</si>
  <si>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</si>
  <si>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</si>
  <si>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</si>
  <si>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</si>
  <si>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</si>
  <si>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</si>
  <si>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</si>
  <si>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</si>
  <si>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</si>
  <si>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</si>
  <si>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</si>
  <si>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</si>
  <si>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</si>
  <si>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</si>
  <si>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</si>
  <si>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</si>
  <si>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</si>
  <si>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</si>
  <si>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</si>
  <si>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</si>
  <si>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</si>
  <si>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</si>
  <si>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</si>
  <si>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</si>
  <si>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</si>
  <si>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</si>
  <si>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</si>
  <si>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</si>
  <si>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</si>
  <si>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</si>
  <si>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</si>
  <si>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</si>
  <si>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</si>
  <si>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</si>
  <si>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</si>
  <si>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</si>
  <si>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</si>
  <si>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</si>
  <si>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</si>
  <si>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</si>
  <si>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</si>
  <si>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</si>
  <si>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</si>
  <si>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</si>
  <si>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</si>
  <si>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</si>
  <si>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</si>
  <si>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</si>
  <si>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</si>
  <si>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</si>
  <si>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</si>
  <si>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</si>
  <si>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</si>
  <si>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</si>
  <si>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</si>
  <si>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</si>
  <si>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</si>
  <si>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</si>
  <si>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</si>
  <si>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</si>
  <si>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</si>
  <si>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</si>
  <si>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</si>
  <si>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</si>
  <si>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</si>
  <si>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</si>
  <si>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</si>
  <si>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</si>
  <si>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</si>
  <si>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</si>
  <si>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</si>
  <si>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</si>
  <si>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</si>
  <si>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</si>
  <si>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</si>
  <si>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</si>
  <si>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</si>
  <si>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</si>
  <si>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</si>
  <si>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</si>
  <si>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</si>
  <si>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</si>
  <si>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</si>
  <si>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</si>
  <si>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</si>
  <si>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</si>
  <si>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</si>
  <si>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</si>
  <si>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</si>
  <si>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</si>
  <si>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</si>
  <si>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</si>
  <si>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</si>
  <si>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</si>
  <si>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</si>
  <si>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</si>
  <si>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</si>
  <si>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</si>
  <si>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</si>
  <si>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</si>
  <si>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</si>
  <si>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</si>
  <si>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</si>
  <si>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</si>
  <si>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</si>
  <si>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</si>
  <si>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</si>
  <si>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</si>
  <si>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</si>
  <si>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</si>
  <si>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</si>
  <si>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</si>
  <si>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</si>
  <si>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</si>
  <si>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</si>
  <si>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</si>
  <si>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</si>
  <si>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</si>
  <si>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</si>
  <si>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</si>
  <si>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</si>
  <si>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</si>
  <si>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</si>
  <si>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</si>
  <si>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</si>
  <si>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</si>
  <si>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</si>
  <si>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</si>
  <si>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</si>
  <si>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</si>
  <si>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</si>
  <si>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</si>
  <si>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</si>
  <si>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</si>
  <si>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</si>
  <si>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</si>
  <si>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</si>
  <si>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</si>
  <si>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</si>
  <si>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</si>
  <si>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</si>
  <si>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</si>
  <si>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</si>
  <si>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</si>
  <si>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</si>
  <si>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</si>
  <si>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</si>
  <si>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</si>
  <si>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</si>
  <si>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</si>
  <si>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</si>
  <si>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</si>
  <si>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</si>
  <si>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</si>
  <si>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</si>
  <si>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</si>
  <si>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</si>
  <si>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</si>
  <si>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</si>
  <si>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</si>
  <si>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</si>
  <si>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</si>
  <si>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</si>
  <si>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</si>
  <si>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</si>
  <si>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</si>
  <si>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</si>
  <si>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</si>
  <si>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</si>
  <si>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</si>
  <si>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</si>
  <si>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</si>
  <si>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</si>
  <si>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</si>
  <si>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</si>
  <si>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</si>
  <si>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</si>
  <si>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</si>
  <si>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</si>
  <si>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</si>
  <si>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</si>
  <si>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</si>
  <si>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</si>
  <si>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</si>
  <si>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</si>
  <si>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</si>
  <si>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</si>
  <si>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</si>
  <si>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</si>
  <si>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</si>
  <si>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</si>
  <si>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</si>
  <si>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</si>
  <si>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</si>
  <si>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</si>
  <si>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</si>
  <si>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</si>
  <si>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</si>
  <si>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</si>
  <si>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</si>
  <si>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</si>
  <si>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</si>
  <si>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</si>
  <si>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</si>
  <si>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</si>
  <si>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</si>
  <si>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</si>
  <si>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</si>
  <si>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</si>
  <si>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</si>
  <si>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</si>
  <si>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</si>
  <si>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</si>
  <si>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</si>
  <si>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</si>
  <si>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</si>
  <si>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</si>
  <si>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</si>
  <si>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</si>
  <si>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</si>
  <si>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200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</si>
  <si>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</si>
  <si>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</si>
  <si>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</si>
  <si>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</si>
  <si>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</si>
  <si>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</si>
  <si>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</si>
  <si>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</si>
  <si>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</si>
  <si>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</si>
  <si>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</si>
  <si>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</si>
  <si>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</si>
  <si>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</si>
  <si>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</si>
  <si>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</si>
  <si>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</si>
  <si>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</si>
  <si>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</si>
  <si>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</si>
  <si>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</si>
  <si>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</si>
  <si>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</si>
  <si>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</si>
  <si>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</si>
  <si>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</si>
  <si>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</si>
  <si>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</si>
  <si>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</si>
  <si>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</si>
  <si>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</si>
  <si>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</si>
  <si>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</si>
  <si>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</si>
  <si>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</si>
  <si>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</si>
  <si>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</si>
  <si>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</si>
  <si>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</si>
  <si>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</si>
  <si>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</si>
  <si>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</si>
  <si>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</si>
  <si>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</si>
  <si>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</si>
  <si>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</si>
  <si>
    <t>31th</t>
  </si>
  <si>
    <t>17.07.2006</t>
  </si>
  <si>
    <t>17.07.2006-arrived</t>
  </si>
  <si>
    <t>29th (+30th)</t>
  </si>
  <si>
    <t>Mishas counting in Protvino (up to sh 8)</t>
  </si>
  <si>
    <t>Mishas counting in Protvino(upto sh8)</t>
  </si>
  <si>
    <t>32 th</t>
  </si>
  <si>
    <t>25.07.2006</t>
  </si>
  <si>
    <t>28.07.2006-arrived</t>
  </si>
  <si>
    <t>32th</t>
  </si>
  <si>
    <t>ordered first contract</t>
  </si>
  <si>
    <t>ordered second contrat</t>
  </si>
  <si>
    <t>total ordered</t>
  </si>
  <si>
    <t>total needed</t>
  </si>
  <si>
    <t>total delivered</t>
  </si>
  <si>
    <t>missing</t>
  </si>
  <si>
    <t>(or 3500 ?)</t>
  </si>
  <si>
    <t>33 th</t>
  </si>
  <si>
    <t>5.8.2006</t>
  </si>
  <si>
    <t>10.08.2006</t>
  </si>
  <si>
    <t>34 th</t>
  </si>
  <si>
    <t>14.8.2006</t>
  </si>
  <si>
    <t>15.8.2006</t>
  </si>
  <si>
    <t>Slava/EBH</t>
  </si>
  <si>
    <t>35 th</t>
  </si>
  <si>
    <t>22.8.2006</t>
  </si>
  <si>
    <t>21.8.2006</t>
  </si>
  <si>
    <t>36th</t>
  </si>
  <si>
    <t>04.09.2006</t>
  </si>
  <si>
    <t>28.8.2006</t>
  </si>
  <si>
    <t>Mishas counting in Protvino (up to sh 9)</t>
  </si>
  <si>
    <t xml:space="preserve">
</t>
  </si>
  <si>
    <t>March,07</t>
  </si>
  <si>
    <t>Jan,07</t>
  </si>
  <si>
    <t>1.June-360</t>
  </si>
  <si>
    <t>Exist at Protvino +Sh10</t>
  </si>
  <si>
    <t># Month w/t Sh10</t>
  </si>
  <si>
    <t>Pr Exist + Sh10 / IC</t>
  </si>
  <si>
    <t>Last month for production</t>
  </si>
  <si>
    <t>Apr,07</t>
  </si>
  <si>
    <t>Shipping before</t>
  </si>
  <si>
    <t>Jan.07</t>
  </si>
  <si>
    <t>Feb,07</t>
  </si>
  <si>
    <t>Nov,06</t>
  </si>
  <si>
    <t>w/tSh10?</t>
  </si>
  <si>
    <t>shipment 10 (Sep.06)</t>
  </si>
  <si>
    <t># Month w/t Sh10+401H</t>
  </si>
  <si>
    <t>Dec,07</t>
  </si>
  <si>
    <t>Needed for 4305 IC</t>
  </si>
  <si>
    <t xml:space="preserve">Needed for 3805 Heads </t>
  </si>
  <si>
    <t>total needed quantity(SEM+IC rest)</t>
  </si>
  <si>
    <t>By whom</t>
  </si>
  <si>
    <t>Vuitton</t>
  </si>
  <si>
    <t>Number of order</t>
  </si>
  <si>
    <t>Franco</t>
  </si>
  <si>
    <t>New Ordered</t>
  </si>
  <si>
    <t>IC=4305 - 500(UK)=3805 at Protvino</t>
  </si>
  <si>
    <t>For IC &amp; SEM at Pr</t>
  </si>
  <si>
    <t>New Ordered - Total needed</t>
  </si>
  <si>
    <t xml:space="preserve"> New Ordered - Total needed</t>
  </si>
  <si>
    <t>180m</t>
  </si>
  <si>
    <t>255m</t>
  </si>
  <si>
    <t>70m</t>
  </si>
  <si>
    <t>in Hall or EBH office</t>
  </si>
  <si>
    <t>Misha</t>
  </si>
  <si>
    <t>Not all good, 6 heads-11.09.06 at CERN</t>
  </si>
  <si>
    <t>37th</t>
  </si>
  <si>
    <t>11.09.2006</t>
  </si>
  <si>
    <t>38th</t>
  </si>
  <si>
    <t>14.09.2006</t>
  </si>
  <si>
    <t>19.09.2006</t>
  </si>
  <si>
    <t>39th</t>
  </si>
  <si>
    <t>26.9.2006</t>
  </si>
  <si>
    <t>25.9.2006</t>
  </si>
  <si>
    <t>NEW ORDER</t>
  </si>
  <si>
    <t>END OF 1ST ORDER</t>
  </si>
  <si>
    <t>Paper to SCT</t>
  </si>
  <si>
    <t>Date</t>
  </si>
  <si>
    <t>Qty</t>
  </si>
  <si>
    <t>Slava_Sh</t>
  </si>
  <si>
    <t>L5=17/03</t>
  </si>
  <si>
    <t>L6=7/04</t>
  </si>
  <si>
    <t>L7=29/05</t>
  </si>
  <si>
    <t>L9=25/07</t>
  </si>
  <si>
    <t>L8=13/06</t>
  </si>
  <si>
    <t>Date of Sh</t>
  </si>
  <si>
    <t>Sasha</t>
  </si>
  <si>
    <t>17/07</t>
  </si>
  <si>
    <t>L9</t>
  </si>
  <si>
    <t>GSNC - ?</t>
  </si>
  <si>
    <t>W/t 200 =&gt;</t>
  </si>
  <si>
    <t>Order=7110</t>
  </si>
  <si>
    <t>&lt;Franco</t>
  </si>
  <si>
    <t>-</t>
  </si>
  <si>
    <t>NGL- 150 kg ordered; 250 kg received; Oct06</t>
  </si>
  <si>
    <t>9.10.2006</t>
  </si>
  <si>
    <t>Count at Protvino     incl sh#9</t>
  </si>
  <si>
    <t>in Hall or EBH office   for Sh#11 (Nov06)</t>
  </si>
  <si>
    <t>250 kg</t>
  </si>
  <si>
    <t>4429(B&amp;S)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</si>
</sst>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  <numFmt numFmtId="221" formatCode="0;[Red]0"/>
    <numFmt numFmtId="222" formatCode="m/d;@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  <xf numFmtId="1" fontId="0" fillId="7" borderId="2" xfId="0" applyNumberFormat="1" applyFon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12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192" fontId="0" fillId="15" borderId="2" xfId="0" applyNumberFormat="1" applyFill="1" applyBorder="1" applyAlignment="1">
      <alignment/>
    </xf>
    <xf numFmtId="0" fontId="4" fillId="10" borderId="2" xfId="0" applyNumberFormat="1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15" borderId="2" xfId="0" applyFill="1" applyBorder="1" applyAlignment="1">
      <alignment/>
    </xf>
    <xf numFmtId="1" fontId="0" fillId="18" borderId="2" xfId="0" applyNumberFormat="1" applyFont="1" applyFill="1" applyBorder="1" applyAlignment="1">
      <alignment/>
    </xf>
    <xf numFmtId="0" fontId="0" fillId="18" borderId="2" xfId="0" applyFill="1" applyBorder="1" applyAlignment="1">
      <alignment/>
    </xf>
    <xf numFmtId="1" fontId="0" fillId="18" borderId="2" xfId="0" applyNumberFormat="1" applyFill="1" applyBorder="1" applyAlignment="1">
      <alignment/>
    </xf>
    <xf numFmtId="1" fontId="0" fillId="9" borderId="2" xfId="0" applyNumberFormat="1" applyFill="1" applyBorder="1" applyAlignment="1">
      <alignment/>
    </xf>
    <xf numFmtId="1" fontId="7" fillId="0" borderId="2" xfId="0" applyNumberFormat="1" applyFont="1" applyBorder="1" applyAlignment="1">
      <alignment/>
    </xf>
    <xf numFmtId="1" fontId="0" fillId="12" borderId="2" xfId="0" applyNumberFormat="1" applyFont="1" applyFill="1" applyBorder="1" applyAlignment="1">
      <alignment/>
    </xf>
    <xf numFmtId="1" fontId="5" fillId="12" borderId="2" xfId="0" applyNumberFormat="1" applyFont="1" applyFill="1" applyBorder="1" applyAlignment="1">
      <alignment horizontal="center"/>
    </xf>
    <xf numFmtId="0" fontId="4" fillId="19" borderId="2" xfId="0" applyNumberFormat="1" applyFont="1" applyFill="1" applyBorder="1" applyAlignment="1">
      <alignment vertical="top" wrapText="1"/>
    </xf>
    <xf numFmtId="0" fontId="0" fillId="20" borderId="2" xfId="0" applyFill="1" applyBorder="1" applyAlignment="1">
      <alignment horizontal="center" vertical="center"/>
    </xf>
    <xf numFmtId="1" fontId="0" fillId="20" borderId="2" xfId="0" applyNumberFormat="1" applyFill="1" applyBorder="1" applyAlignment="1">
      <alignment horizontal="center"/>
    </xf>
    <xf numFmtId="1" fontId="0" fillId="20" borderId="2" xfId="0" applyNumberFormat="1" applyFill="1" applyBorder="1" applyAlignment="1">
      <alignment/>
    </xf>
    <xf numFmtId="0" fontId="0" fillId="9" borderId="2" xfId="0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4" fillId="10" borderId="2" xfId="0" applyFont="1" applyFill="1" applyBorder="1" applyAlignment="1">
      <alignment/>
    </xf>
    <xf numFmtId="1" fontId="0" fillId="7" borderId="2" xfId="0" applyNumberFormat="1" applyFont="1" applyFill="1" applyBorder="1" applyAlignment="1">
      <alignment horizontal="right"/>
    </xf>
    <xf numFmtId="1" fontId="15" fillId="0" borderId="2" xfId="0" applyNumberFormat="1" applyFont="1" applyBorder="1" applyAlignment="1">
      <alignment/>
    </xf>
    <xf numFmtId="1" fontId="6" fillId="8" borderId="2" xfId="0" applyNumberFormat="1" applyFont="1" applyFill="1" applyBorder="1" applyAlignment="1">
      <alignment horizontal="center" vertical="top" wrapText="1"/>
    </xf>
    <xf numFmtId="1" fontId="5" fillId="8" borderId="2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zoomScale="75" zoomScaleNormal="75" workbookViewId="0" topLeftCell="A1">
      <pane xSplit="1" topLeftCell="C1" activePane="topRight" state="frozen"/>
      <selection pane="topLeft" activeCell="A1" sqref="A1"/>
      <selection pane="topRight" activeCell="I1" sqref="I1:I21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335</v>
      </c>
      <c r="K1" s="154" t="s">
        <v>330</v>
      </c>
      <c r="L1" s="189" t="s">
        <v>4</v>
      </c>
      <c r="M1" s="33" t="s">
        <v>29</v>
      </c>
      <c r="N1" s="38" t="s">
        <v>122</v>
      </c>
      <c r="O1" s="187" t="s">
        <v>331</v>
      </c>
      <c r="P1" s="33" t="s">
        <v>30</v>
      </c>
      <c r="Q1" s="156" t="s">
        <v>332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415</v>
      </c>
      <c r="AA1" s="216" t="s">
        <v>398</v>
      </c>
      <c r="AB1" s="166" t="s">
        <v>379</v>
      </c>
      <c r="AC1" s="166" t="s">
        <v>380</v>
      </c>
      <c r="AD1" s="217" t="s">
        <v>360</v>
      </c>
      <c r="AE1" s="229" t="s">
        <v>375</v>
      </c>
      <c r="AF1" s="229" t="s">
        <v>376</v>
      </c>
      <c r="AG1" s="166" t="s">
        <v>378</v>
      </c>
      <c r="AH1" s="165" t="s">
        <v>353</v>
      </c>
      <c r="AI1" s="166" t="s">
        <v>355</v>
      </c>
      <c r="AJ1" s="209" t="s">
        <v>338</v>
      </c>
      <c r="AK1" s="231" t="s">
        <v>352</v>
      </c>
      <c r="AL1" s="41"/>
      <c r="AM1" s="254" t="s">
        <v>384</v>
      </c>
      <c r="AR1" s="8"/>
      <c r="AS1" s="8"/>
    </row>
    <row r="2" spans="1:39" ht="12.75">
      <c r="A2" s="41" t="s">
        <v>345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359</v>
      </c>
      <c r="AA2" s="52"/>
      <c r="AB2" s="53"/>
      <c r="AC2" s="53"/>
      <c r="AD2" s="220" t="s">
        <v>358</v>
      </c>
      <c r="AE2" s="230"/>
      <c r="AF2" s="230"/>
      <c r="AG2" s="220" t="s">
        <v>358</v>
      </c>
      <c r="AH2" s="88"/>
      <c r="AI2" s="53" t="s">
        <v>41</v>
      </c>
      <c r="AJ2" s="88"/>
      <c r="AK2" s="232"/>
      <c r="AL2" s="247" t="s">
        <v>381</v>
      </c>
      <c r="AM2" s="252" t="s">
        <v>394</v>
      </c>
    </row>
    <row r="3" spans="1:39" ht="12.75">
      <c r="A3" s="170" t="s">
        <v>323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361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308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249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260">
        <v>203</v>
      </c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314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249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260">
        <v>207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-665</v>
      </c>
      <c r="AJ8" s="88">
        <f>J8-AA8</f>
        <v>661</v>
      </c>
      <c r="AK8" s="235" t="s">
        <v>343</v>
      </c>
      <c r="AL8" s="243">
        <f t="shared" si="4"/>
        <v>-4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8691</v>
      </c>
      <c r="Q9" s="51" t="s">
        <v>311</v>
      </c>
      <c r="R9" s="171">
        <f t="shared" si="0"/>
        <v>81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249">
        <v>5284</v>
      </c>
      <c r="AA9" s="162">
        <f>Z9+AE9+AF9+AG9</f>
        <v>11354</v>
      </c>
      <c r="AB9" s="147">
        <f>Y9-J9</f>
        <v>-3284</v>
      </c>
      <c r="AC9" s="147">
        <f>Y9-K9</f>
        <v>-3284</v>
      </c>
      <c r="AD9" s="260">
        <v>2789</v>
      </c>
      <c r="AE9" s="91">
        <v>1903</v>
      </c>
      <c r="AF9" s="91">
        <v>1378</v>
      </c>
      <c r="AG9" s="91">
        <f>AD9</f>
        <v>2789</v>
      </c>
      <c r="AH9" s="173">
        <f t="shared" si="1"/>
        <v>5452</v>
      </c>
      <c r="AI9" s="147">
        <f>AD9+AB9</f>
        <v>-495</v>
      </c>
      <c r="AJ9" s="88">
        <f>J9-AA9</f>
        <v>-2744</v>
      </c>
      <c r="AK9" s="235" t="s">
        <v>344</v>
      </c>
      <c r="AL9" s="243">
        <f t="shared" si="4"/>
        <v>-3239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299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299</v>
      </c>
      <c r="X11" s="163">
        <v>0</v>
      </c>
      <c r="Y11" s="162">
        <f>V11+W11+X11</f>
        <v>207126</v>
      </c>
      <c r="Z11" s="249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260">
        <v>3273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-52206</v>
      </c>
      <c r="AJ11" s="88">
        <f>J11-AA11</f>
        <v>53242</v>
      </c>
      <c r="AK11" s="235"/>
      <c r="AL11" s="246">
        <f t="shared" si="4"/>
        <v>1036</v>
      </c>
      <c r="AM11" s="106">
        <v>57000</v>
      </c>
    </row>
    <row r="12" spans="1:40" s="15" customFormat="1" ht="12.75">
      <c r="A12" s="82" t="s">
        <v>336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24" customHeight="1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561526</v>
      </c>
      <c r="Q13" s="51" t="s">
        <v>305</v>
      </c>
      <c r="R13" s="171">
        <f t="shared" si="0"/>
        <v>-229754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362</v>
      </c>
      <c r="X13" s="162">
        <v>1830</v>
      </c>
      <c r="Y13" s="162">
        <f>V13+W13+X13</f>
        <v>357575</v>
      </c>
      <c r="Z13" s="249">
        <v>346854</v>
      </c>
      <c r="AA13" s="162">
        <f>Z13+AE13+AF13+AG13</f>
        <v>678725</v>
      </c>
      <c r="AB13" s="147">
        <f>Y13-J13</f>
        <v>-433705</v>
      </c>
      <c r="AC13" s="147">
        <f>Y13-K13</f>
        <v>-430240</v>
      </c>
      <c r="AD13" s="260">
        <v>154876</v>
      </c>
      <c r="AE13" s="91">
        <v>119835</v>
      </c>
      <c r="AF13" s="91">
        <v>57160</v>
      </c>
      <c r="AG13" s="91">
        <f>AD13</f>
        <v>154876</v>
      </c>
      <c r="AH13" s="173">
        <f t="shared" si="1"/>
        <v>156829.96174863388</v>
      </c>
      <c r="AI13" s="147">
        <f>AD13+AB13</f>
        <v>-278829</v>
      </c>
      <c r="AJ13" s="244">
        <f>J13-L13</f>
        <v>92980</v>
      </c>
      <c r="AK13" s="245" t="s">
        <v>344</v>
      </c>
      <c r="AL13" s="243">
        <f t="shared" si="4"/>
        <v>-185849</v>
      </c>
      <c r="AM13" s="247">
        <v>103700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24" customHeight="1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23815</v>
      </c>
      <c r="Q16" s="51" t="s">
        <v>306</v>
      </c>
      <c r="R16" s="171">
        <f t="shared" si="0"/>
        <v>-2015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249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260">
        <v>13190</v>
      </c>
      <c r="AE16" s="91"/>
      <c r="AF16" s="91"/>
      <c r="AG16" s="202"/>
      <c r="AH16" s="173">
        <f t="shared" si="1"/>
        <v>1770.8333333333333</v>
      </c>
      <c r="AI16" s="147">
        <f>AD16+AB16</f>
        <v>-2015</v>
      </c>
      <c r="AJ16" s="244">
        <f>J16-L16</f>
        <v>3030</v>
      </c>
      <c r="AK16" s="245" t="s">
        <v>344</v>
      </c>
      <c r="AL16" s="243">
        <f t="shared" si="4"/>
        <v>1015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302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249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383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303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249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256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256">
        <v>7207</v>
      </c>
      <c r="AA21" s="162">
        <f>Z21+AF21+AG21</f>
        <v>7207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1813</v>
      </c>
      <c r="AK21" s="238"/>
      <c r="AL21" s="246">
        <f t="shared" si="4"/>
        <v>-2730</v>
      </c>
      <c r="AM21" s="247"/>
      <c r="AN21">
        <f>AA21/(D21*400)</f>
        <v>9.00875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447</v>
      </c>
      <c r="Q25" s="51"/>
      <c r="R25" s="79">
        <f t="shared" si="0"/>
        <v>-53</v>
      </c>
      <c r="S25" s="50"/>
      <c r="T25" s="50" t="s">
        <v>24</v>
      </c>
      <c r="U25" s="51"/>
      <c r="V25" s="157"/>
      <c r="W25" s="157" t="s">
        <v>363</v>
      </c>
      <c r="X25" s="88"/>
      <c r="Y25" s="162">
        <f>V25+W25+X25</f>
        <v>347</v>
      </c>
      <c r="Z25" s="259">
        <v>281</v>
      </c>
      <c r="AA25" s="162">
        <f>Z25+AE25+AF25+AG25</f>
        <v>581</v>
      </c>
      <c r="AB25" s="198">
        <f>Y25-J25</f>
        <v>-133</v>
      </c>
      <c r="AC25" s="198">
        <f>Y25-K25</f>
        <v>-133</v>
      </c>
      <c r="AD25" s="260">
        <v>100</v>
      </c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-101</v>
      </c>
      <c r="AK25" s="239"/>
      <c r="AL25" s="243">
        <f t="shared" si="4"/>
        <v>-101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249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304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249">
        <v>8128</v>
      </c>
      <c r="AA28" s="162">
        <f t="shared" si="12"/>
        <v>11762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-3152</v>
      </c>
      <c r="AK28" s="236"/>
      <c r="AL28" s="246">
        <f t="shared" si="4"/>
        <v>-211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249">
        <v>8300</v>
      </c>
      <c r="AA29" s="162">
        <f t="shared" si="12"/>
        <v>9300</v>
      </c>
      <c r="AB29" s="147">
        <f t="shared" si="13"/>
        <v>-1075</v>
      </c>
      <c r="AC29" s="147">
        <f t="shared" si="14"/>
        <v>-305</v>
      </c>
      <c r="AD29" s="260">
        <v>1000</v>
      </c>
      <c r="AE29" s="91"/>
      <c r="AF29" s="91"/>
      <c r="AG29" s="91">
        <f>AD29</f>
        <v>1000</v>
      </c>
      <c r="AH29" s="167">
        <f t="shared" si="15"/>
        <v>4152.5</v>
      </c>
      <c r="AI29" s="147">
        <f t="shared" si="16"/>
        <v>-75</v>
      </c>
      <c r="AJ29" s="167">
        <f t="shared" si="17"/>
        <v>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249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307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162">
        <f t="shared" si="11"/>
        <v>73140</v>
      </c>
      <c r="Z31" s="249">
        <v>73100</v>
      </c>
      <c r="AA31" s="162">
        <f t="shared" si="12"/>
        <v>73100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11320</v>
      </c>
      <c r="AK31" s="236"/>
      <c r="AL31" s="246">
        <f t="shared" si="4"/>
        <v>40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249">
        <v>45600</v>
      </c>
      <c r="AA32" s="162">
        <f t="shared" si="12"/>
        <v>47600</v>
      </c>
      <c r="AB32" s="147">
        <f t="shared" si="13"/>
        <v>17500</v>
      </c>
      <c r="AC32" s="147">
        <f t="shared" si="14"/>
        <v>19810</v>
      </c>
      <c r="AD32" s="260">
        <v>2000</v>
      </c>
      <c r="AE32" s="91"/>
      <c r="AF32" s="91"/>
      <c r="AG32" s="91">
        <f>AD32</f>
        <v>2000</v>
      </c>
      <c r="AH32" s="179">
        <f t="shared" si="15"/>
        <v>7606.666666666667</v>
      </c>
      <c r="AI32" s="147">
        <f t="shared" si="16"/>
        <v>19500</v>
      </c>
      <c r="AJ32" s="167">
        <f t="shared" si="17"/>
        <v>-19460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309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249">
        <v>4080</v>
      </c>
      <c r="AA36" s="162">
        <f aca="true" t="shared" si="20" ref="AA36:AA47">Z36+AE36+AF36+AG36</f>
        <v>4124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566</v>
      </c>
      <c r="AK36" s="236"/>
      <c r="AL36" s="243">
        <f t="shared" si="4"/>
        <v>-34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249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260">
        <v>14</v>
      </c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-584</v>
      </c>
      <c r="AJ37" s="167">
        <f>J37-AA37</f>
        <v>596</v>
      </c>
      <c r="AK37" s="236"/>
      <c r="AL37" s="243">
        <f t="shared" si="4"/>
        <v>12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9406</v>
      </c>
      <c r="Q38" s="112" t="s">
        <v>315</v>
      </c>
      <c r="R38" s="130">
        <f t="shared" si="0"/>
        <v>-4664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162">
        <f>V38+W38+X38+AD38</f>
        <v>8354</v>
      </c>
      <c r="Z38" s="249">
        <v>11432</v>
      </c>
      <c r="AA38" s="162">
        <f t="shared" si="20"/>
        <v>12414</v>
      </c>
      <c r="AB38" s="147">
        <f>Y38-J38</f>
        <v>-5716</v>
      </c>
      <c r="AC38" s="147">
        <f t="shared" si="29"/>
        <v>-4561</v>
      </c>
      <c r="AD38" s="260">
        <v>70</v>
      </c>
      <c r="AE38" s="91">
        <v>982</v>
      </c>
      <c r="AF38" s="147"/>
      <c r="AG38" s="147">
        <v>0</v>
      </c>
      <c r="AH38" s="195">
        <f>Y38/D38+AG20</f>
        <v>2784.6666666666665</v>
      </c>
      <c r="AI38" s="147">
        <f t="shared" si="21"/>
        <v>-5646</v>
      </c>
      <c r="AJ38" s="195">
        <f>J38-AA38</f>
        <v>1656</v>
      </c>
      <c r="AK38" s="248" t="s">
        <v>382</v>
      </c>
      <c r="AL38" s="246">
        <f t="shared" si="4"/>
        <v>-3990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11446</v>
      </c>
      <c r="Q39" s="112" t="s">
        <v>174</v>
      </c>
      <c r="R39" s="130">
        <f t="shared" si="0"/>
        <v>-2624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11446</v>
      </c>
      <c r="Z39" s="249">
        <v>9530</v>
      </c>
      <c r="AA39" s="162">
        <f t="shared" si="20"/>
        <v>11440</v>
      </c>
      <c r="AB39" s="147">
        <f>Y39-J39</f>
        <v>-2624</v>
      </c>
      <c r="AC39" s="147">
        <f t="shared" si="29"/>
        <v>-1469</v>
      </c>
      <c r="AD39" s="260">
        <v>1910</v>
      </c>
      <c r="AE39" s="91"/>
      <c r="AF39" s="91"/>
      <c r="AG39" s="91">
        <f>AD39</f>
        <v>1910</v>
      </c>
      <c r="AH39" s="195">
        <f t="shared" si="30"/>
        <v>3815.3333333333335</v>
      </c>
      <c r="AI39" s="147">
        <f t="shared" si="21"/>
        <v>-714</v>
      </c>
      <c r="AJ39" s="195">
        <f aca="true" t="shared" si="32" ref="AJ39:AJ51">J39-AA39</f>
        <v>2630</v>
      </c>
      <c r="AK39" s="241"/>
      <c r="AL39" s="246">
        <f t="shared" si="4"/>
        <v>1916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249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162">
        <f t="shared" si="28"/>
        <v>14306</v>
      </c>
      <c r="Z41" s="249">
        <v>24400</v>
      </c>
      <c r="AA41" s="162">
        <f t="shared" si="20"/>
        <v>24400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-10330</v>
      </c>
      <c r="AK41" s="236"/>
      <c r="AL41" s="246">
        <f t="shared" si="4"/>
        <v>-10094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249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260">
        <v>1000</v>
      </c>
      <c r="AE42" s="147"/>
      <c r="AF42" s="147"/>
      <c r="AG42" s="147"/>
      <c r="AH42" s="167">
        <f t="shared" si="30"/>
        <v>2100</v>
      </c>
      <c r="AI42" s="147">
        <f t="shared" si="21"/>
        <v>-6370</v>
      </c>
      <c r="AJ42" s="167">
        <f t="shared" si="32"/>
        <v>7370</v>
      </c>
      <c r="AK42" s="236"/>
      <c r="AL42" s="243">
        <f t="shared" si="4"/>
        <v>1000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313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249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310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249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310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249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310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249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257">
        <v>200</v>
      </c>
      <c r="AA47" s="162">
        <f t="shared" si="20"/>
        <v>200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503.5</v>
      </c>
      <c r="AK47" s="236"/>
      <c r="AL47" s="243">
        <f t="shared" si="4"/>
        <v>600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318</v>
      </c>
      <c r="X48" s="162">
        <v>140</v>
      </c>
      <c r="Y48" s="162">
        <f t="shared" si="28"/>
        <v>331</v>
      </c>
      <c r="Z48" s="249">
        <v>892</v>
      </c>
      <c r="AA48" s="162">
        <f>Z48+AD48+AG48</f>
        <v>892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310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249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310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249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341</v>
      </c>
      <c r="B51" s="43" t="s">
        <v>342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364</v>
      </c>
      <c r="X51" s="162"/>
      <c r="Y51" s="162"/>
      <c r="Z51" s="258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-544862.5</v>
      </c>
      <c r="AC52" s="139">
        <f>SUM(AC6:AC51)</f>
        <v>-512401.25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335</v>
      </c>
      <c r="K57" s="154" t="s">
        <v>330</v>
      </c>
      <c r="L57" s="189" t="s">
        <v>4</v>
      </c>
      <c r="M57" s="33" t="s">
        <v>29</v>
      </c>
      <c r="N57" s="38" t="s">
        <v>122</v>
      </c>
      <c r="O57" s="187" t="s">
        <v>331</v>
      </c>
      <c r="P57" s="33" t="s">
        <v>30</v>
      </c>
      <c r="Q57" s="156" t="s">
        <v>332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416</v>
      </c>
      <c r="AA57" s="216" t="s">
        <v>354</v>
      </c>
      <c r="AB57" s="229" t="s">
        <v>393</v>
      </c>
      <c r="AC57" s="166" t="s">
        <v>377</v>
      </c>
      <c r="AD57" s="217" t="s">
        <v>360</v>
      </c>
      <c r="AE57" s="166"/>
      <c r="AF57" s="166"/>
      <c r="AG57" s="166" t="s">
        <v>261</v>
      </c>
      <c r="AH57" s="165" t="s">
        <v>356</v>
      </c>
      <c r="AI57" s="166" t="s">
        <v>355</v>
      </c>
      <c r="AJ57" s="209" t="s">
        <v>338</v>
      </c>
      <c r="AK57" s="254" t="s">
        <v>384</v>
      </c>
      <c r="AL57" s="218" t="s">
        <v>333</v>
      </c>
      <c r="AM57" s="190" t="s">
        <v>300</v>
      </c>
      <c r="AN57" s="190" t="s">
        <v>334</v>
      </c>
      <c r="AO57" s="218" t="s">
        <v>357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20" t="s">
        <v>359</v>
      </c>
      <c r="AA58" s="23"/>
      <c r="AB58" s="223"/>
      <c r="AC58" s="223" t="s">
        <v>361</v>
      </c>
      <c r="AD58" s="220" t="s">
        <v>359</v>
      </c>
      <c r="AE58" s="4"/>
      <c r="AF58" s="4"/>
      <c r="AG58" s="4"/>
      <c r="AH58" s="21"/>
      <c r="AI58" s="4"/>
      <c r="AJ58" s="21"/>
      <c r="AK58" s="252" t="s">
        <v>394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2564</v>
      </c>
      <c r="Q60" s="89" t="s">
        <v>251</v>
      </c>
      <c r="R60" s="196">
        <f>-I60+P60</f>
        <v>-1306</v>
      </c>
      <c r="S60" s="50"/>
      <c r="T60" s="50" t="s">
        <v>91</v>
      </c>
      <c r="U60" s="89" t="s">
        <v>41</v>
      </c>
      <c r="V60" s="157" t="s">
        <v>227</v>
      </c>
      <c r="W60" s="157" t="s">
        <v>319</v>
      </c>
      <c r="X60" s="162">
        <v>2</v>
      </c>
      <c r="Y60" s="162">
        <f>V60+W60+X60</f>
        <v>2004</v>
      </c>
      <c r="Z60" s="249">
        <v>2000</v>
      </c>
      <c r="AB60" s="162">
        <f>AG60+AH60+500</f>
        <v>4098</v>
      </c>
      <c r="AC60" s="202">
        <f>(3+2)</f>
        <v>5</v>
      </c>
      <c r="AD60" s="260">
        <v>1589</v>
      </c>
      <c r="AE60" s="255">
        <f>AB60/500</f>
        <v>8.196</v>
      </c>
      <c r="AF60" s="91"/>
      <c r="AG60" s="172">
        <f>(AC60+AD60)/D60</f>
        <v>1594</v>
      </c>
      <c r="AH60" s="96">
        <f>Y60/D60</f>
        <v>2004</v>
      </c>
      <c r="AI60" s="172">
        <f>AG60-AH60+500</f>
        <v>90</v>
      </c>
      <c r="AJ60" s="88">
        <f>J60-(AB60*D60)</f>
        <v>-228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320</v>
      </c>
      <c r="X61" s="162">
        <v>4</v>
      </c>
      <c r="Y61" s="88">
        <f>V61+W61+X61</f>
        <v>4004</v>
      </c>
      <c r="Z61" s="249">
        <v>4000</v>
      </c>
      <c r="AB61" s="162">
        <f>AG61+AH61+500+103</f>
        <v>3698</v>
      </c>
      <c r="AC61" s="91"/>
      <c r="AD61" s="260">
        <v>2186</v>
      </c>
      <c r="AE61" s="255">
        <f aca="true" t="shared" si="35" ref="AE61:AE67">AB61/500</f>
        <v>7.396</v>
      </c>
      <c r="AF61" s="91"/>
      <c r="AG61" s="172">
        <f>(AC61+AD61)/D61</f>
        <v>1093</v>
      </c>
      <c r="AH61" s="96">
        <f>Y61/D61</f>
        <v>2002</v>
      </c>
      <c r="AI61" s="172">
        <f>AG61-AH61+500</f>
        <v>-409</v>
      </c>
      <c r="AJ61" s="88">
        <f>J61-(AB61*D61)</f>
        <v>1114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340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5410</v>
      </c>
      <c r="Q63" s="89" t="s">
        <v>253</v>
      </c>
      <c r="R63" s="196">
        <f>-I63+P63</f>
        <v>675</v>
      </c>
      <c r="S63" s="141"/>
      <c r="T63" s="141" t="s">
        <v>94</v>
      </c>
      <c r="U63" s="49"/>
      <c r="V63" s="157"/>
      <c r="W63" s="157" t="s">
        <v>321</v>
      </c>
      <c r="X63" s="162">
        <v>2</v>
      </c>
      <c r="Y63" s="162">
        <f>V63+W63+X63</f>
        <v>2012</v>
      </c>
      <c r="Z63" s="249">
        <v>2010</v>
      </c>
      <c r="AB63" s="162">
        <f>AG63+AH63+500</f>
        <v>3812</v>
      </c>
      <c r="AC63" s="91"/>
      <c r="AD63" s="260">
        <v>1300</v>
      </c>
      <c r="AE63" s="255">
        <f t="shared" si="35"/>
        <v>7.624</v>
      </c>
      <c r="AF63" s="91"/>
      <c r="AG63" s="172">
        <f>(AC63+AD63)/D63</f>
        <v>1300</v>
      </c>
      <c r="AH63" s="96">
        <f>Y63/D63</f>
        <v>2012</v>
      </c>
      <c r="AI63" s="172">
        <f>AG63-AH63+500</f>
        <v>-212</v>
      </c>
      <c r="AJ63" s="88">
        <f>J63-(AB63*D63)</f>
        <v>443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8550</v>
      </c>
      <c r="Q64" s="51" t="s">
        <v>252</v>
      </c>
      <c r="R64" s="171">
        <f>-I64+P64</f>
        <v>-150</v>
      </c>
      <c r="S64" s="140" t="s">
        <v>31</v>
      </c>
      <c r="T64" s="50" t="s">
        <v>154</v>
      </c>
      <c r="U64" s="51"/>
      <c r="V64" s="157"/>
      <c r="W64" s="157" t="s">
        <v>320</v>
      </c>
      <c r="X64" s="162">
        <v>4</v>
      </c>
      <c r="Y64" s="162">
        <f>V64+W64+X64</f>
        <v>4004</v>
      </c>
      <c r="Z64" s="249">
        <v>4000</v>
      </c>
      <c r="AB64" s="162">
        <f>AG64+AH64+500</f>
        <v>3592</v>
      </c>
      <c r="AC64" s="224">
        <f>(85+5)</f>
        <v>90</v>
      </c>
      <c r="AD64" s="260">
        <v>2090</v>
      </c>
      <c r="AE64" s="255">
        <f t="shared" si="35"/>
        <v>7.184</v>
      </c>
      <c r="AF64" s="91"/>
      <c r="AG64" s="172">
        <f>(AC64+AD64)/D64</f>
        <v>1090</v>
      </c>
      <c r="AH64" s="96">
        <f>Y64/D64</f>
        <v>2002</v>
      </c>
      <c r="AI64" s="172">
        <f>AG64-AH64+500</f>
        <v>-412</v>
      </c>
      <c r="AJ64" s="88">
        <f>J64-(AB64*D64)</f>
        <v>556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15139</v>
      </c>
      <c r="Q66" s="51" t="s">
        <v>312</v>
      </c>
      <c r="R66" s="196">
        <f>-I66+P66</f>
        <v>6439</v>
      </c>
      <c r="S66" s="140" t="s">
        <v>31</v>
      </c>
      <c r="T66" s="50" t="s">
        <v>154</v>
      </c>
      <c r="U66" s="51"/>
      <c r="V66" s="157"/>
      <c r="W66" s="157" t="s">
        <v>320</v>
      </c>
      <c r="X66" s="162">
        <v>4</v>
      </c>
      <c r="Y66" s="162">
        <f>V66+W66+X66</f>
        <v>4004</v>
      </c>
      <c r="Z66" s="249">
        <v>3915</v>
      </c>
      <c r="AB66" s="162">
        <f>AG66+AH66+500</f>
        <v>3489.5</v>
      </c>
      <c r="AC66" s="91"/>
      <c r="AD66" s="260">
        <v>1975</v>
      </c>
      <c r="AE66" s="255">
        <f t="shared" si="35"/>
        <v>6.979</v>
      </c>
      <c r="AF66" s="91"/>
      <c r="AG66" s="172">
        <f>(AC66+AD66)/D66</f>
        <v>987.5</v>
      </c>
      <c r="AH66" s="96">
        <f>Y66/D66</f>
        <v>2002</v>
      </c>
      <c r="AI66" s="172">
        <f>AG66-AH66+500</f>
        <v>-514.5</v>
      </c>
      <c r="AJ66" s="88">
        <f>J66-(AB66*D66)</f>
        <v>761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337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322</v>
      </c>
      <c r="X67" s="164">
        <v>6</v>
      </c>
      <c r="Y67" s="162">
        <f>V67+W67+X67</f>
        <v>5706</v>
      </c>
      <c r="Z67" s="249">
        <v>5700</v>
      </c>
      <c r="AB67" s="162">
        <f>AG67+AH67+500</f>
        <v>3642.666666666667</v>
      </c>
      <c r="AC67" s="224">
        <f>(612+30)</f>
        <v>642</v>
      </c>
      <c r="AD67" s="143">
        <v>3080</v>
      </c>
      <c r="AE67" s="255">
        <f t="shared" si="35"/>
        <v>7.285333333333334</v>
      </c>
      <c r="AG67" s="172">
        <f>(AC67+AD67)/D67</f>
        <v>1240.6666666666667</v>
      </c>
      <c r="AH67" s="96">
        <f>Y67/D67</f>
        <v>1902</v>
      </c>
      <c r="AI67" s="172">
        <f>AG67-AH67+500</f>
        <v>-161.33333333333326</v>
      </c>
      <c r="AJ67" s="88">
        <f>J67-(AB67*D67)</f>
        <v>1837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339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9.106666666666667</v>
      </c>
      <c r="AD81" s="4"/>
      <c r="AE81" s="4"/>
      <c r="AF81" s="4"/>
      <c r="AG81" s="4">
        <f>AG61*2</f>
        <v>2186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landscape" paperSize="8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31" sqref="I31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290</v>
      </c>
      <c r="O1" t="s">
        <v>369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367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292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366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291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365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289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370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373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371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372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368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374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395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289</v>
      </c>
      <c r="D30" s="15">
        <v>14497</v>
      </c>
      <c r="E30" s="16">
        <v>6905</v>
      </c>
      <c r="F30" t="s">
        <v>396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397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5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3">
      <selection activeCell="I33" sqref="I33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  <col min="8" max="8" width="11.57421875" style="0" customWidth="1"/>
  </cols>
  <sheetData>
    <row r="1" spans="1:2" ht="12.75">
      <c r="A1" s="181" t="s">
        <v>293</v>
      </c>
      <c r="B1" s="181"/>
    </row>
    <row r="3" spans="1:7" ht="12.75">
      <c r="A3" t="s">
        <v>283</v>
      </c>
      <c r="B3" s="97" t="s">
        <v>294</v>
      </c>
      <c r="C3" t="s">
        <v>285</v>
      </c>
      <c r="D3" t="s">
        <v>296</v>
      </c>
      <c r="E3" t="s">
        <v>295</v>
      </c>
      <c r="G3" t="s">
        <v>301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14" ht="12.75">
      <c r="A9">
        <v>6</v>
      </c>
      <c r="B9" s="41"/>
      <c r="C9" s="41"/>
      <c r="H9" s="10"/>
      <c r="I9" s="10"/>
      <c r="J9" s="10"/>
      <c r="K9" s="10"/>
      <c r="L9" s="10"/>
      <c r="M9" s="10"/>
      <c r="N9" s="10"/>
    </row>
    <row r="10" spans="1:14" ht="12.75">
      <c r="A10">
        <v>8</v>
      </c>
      <c r="B10" s="41"/>
      <c r="C10" s="41"/>
      <c r="H10" s="281" t="s">
        <v>487</v>
      </c>
      <c r="I10" s="281"/>
      <c r="N10" s="10"/>
    </row>
    <row r="11" spans="1:14" ht="12.75">
      <c r="A11">
        <v>9</v>
      </c>
      <c r="B11" s="41"/>
      <c r="C11" s="41"/>
      <c r="H11" s="285" t="s">
        <v>488</v>
      </c>
      <c r="I11" s="285" t="s">
        <v>489</v>
      </c>
      <c r="J11" s="288" t="s">
        <v>490</v>
      </c>
      <c r="K11" s="288" t="s">
        <v>496</v>
      </c>
      <c r="L11" s="293" t="s">
        <v>288</v>
      </c>
      <c r="N11" s="10"/>
    </row>
    <row r="12" spans="1:14" ht="12.75">
      <c r="A12">
        <v>10</v>
      </c>
      <c r="B12" s="41"/>
      <c r="C12" s="41">
        <v>200</v>
      </c>
      <c r="H12" s="285"/>
      <c r="I12" s="285">
        <v>200</v>
      </c>
      <c r="J12" s="15"/>
      <c r="N12" s="10"/>
    </row>
    <row r="13" spans="1:14" ht="12.75">
      <c r="A13">
        <v>11</v>
      </c>
      <c r="C13">
        <v>770</v>
      </c>
      <c r="H13" s="281">
        <v>14.03</v>
      </c>
      <c r="I13" s="281">
        <v>758</v>
      </c>
      <c r="J13" s="282"/>
      <c r="N13" s="10"/>
    </row>
    <row r="14" spans="1:14" ht="12.75">
      <c r="A14">
        <v>12</v>
      </c>
      <c r="C14">
        <v>0</v>
      </c>
      <c r="H14" s="281"/>
      <c r="I14" s="281">
        <v>0</v>
      </c>
      <c r="J14" s="281"/>
      <c r="N14" s="10"/>
    </row>
    <row r="15" spans="1:14" ht="12.75">
      <c r="A15">
        <v>13</v>
      </c>
      <c r="C15">
        <v>0</v>
      </c>
      <c r="H15" s="281"/>
      <c r="I15" s="281">
        <v>0</v>
      </c>
      <c r="J15" s="287">
        <v>839</v>
      </c>
      <c r="K15" s="289" t="s">
        <v>491</v>
      </c>
      <c r="N15" s="10"/>
    </row>
    <row r="16" spans="1:14" ht="12.75">
      <c r="A16">
        <v>14</v>
      </c>
      <c r="B16">
        <v>3.04</v>
      </c>
      <c r="C16">
        <v>1080</v>
      </c>
      <c r="D16" s="185" t="s">
        <v>24</v>
      </c>
      <c r="H16" s="281">
        <v>3.04</v>
      </c>
      <c r="I16" s="281">
        <f>151+929</f>
        <v>1080</v>
      </c>
      <c r="J16" s="283"/>
      <c r="K16" s="290"/>
      <c r="N16" s="10"/>
    </row>
    <row r="17" spans="1:14" ht="12.75">
      <c r="A17">
        <v>15</v>
      </c>
      <c r="C17">
        <v>0</v>
      </c>
      <c r="D17" s="185"/>
      <c r="H17" s="281"/>
      <c r="I17" s="281">
        <v>0</v>
      </c>
      <c r="J17" s="287">
        <v>1080</v>
      </c>
      <c r="K17" s="291" t="s">
        <v>492</v>
      </c>
      <c r="N17" s="10"/>
    </row>
    <row r="18" spans="1:14" ht="12.75">
      <c r="A18">
        <v>16</v>
      </c>
      <c r="B18">
        <v>18.04</v>
      </c>
      <c r="C18">
        <v>576</v>
      </c>
      <c r="D18" s="185" t="s">
        <v>24</v>
      </c>
      <c r="E18">
        <v>19.04</v>
      </c>
      <c r="H18" s="281">
        <v>18.04</v>
      </c>
      <c r="I18" s="281">
        <v>576</v>
      </c>
      <c r="J18" s="283"/>
      <c r="K18" s="290"/>
      <c r="N18" s="10"/>
    </row>
    <row r="19" spans="1:14" ht="12.75">
      <c r="A19">
        <v>17</v>
      </c>
      <c r="C19">
        <v>0</v>
      </c>
      <c r="D19" s="185"/>
      <c r="H19" s="281"/>
      <c r="I19" s="281">
        <v>0</v>
      </c>
      <c r="K19" s="290"/>
      <c r="N19" s="10"/>
    </row>
    <row r="20" spans="1:14" ht="12.75">
      <c r="A20">
        <v>18</v>
      </c>
      <c r="C20">
        <v>0</v>
      </c>
      <c r="D20" s="185"/>
      <c r="H20" s="281"/>
      <c r="I20" s="281">
        <v>0</v>
      </c>
      <c r="K20" s="290"/>
      <c r="N20" s="10"/>
    </row>
    <row r="21" spans="1:14" ht="12.75">
      <c r="A21">
        <v>19</v>
      </c>
      <c r="B21">
        <v>9.05</v>
      </c>
      <c r="C21">
        <v>688</v>
      </c>
      <c r="D21" s="185" t="s">
        <v>24</v>
      </c>
      <c r="E21">
        <v>10.05</v>
      </c>
      <c r="H21" s="281">
        <v>9.05</v>
      </c>
      <c r="I21" s="281">
        <v>688</v>
      </c>
      <c r="K21" s="290"/>
      <c r="L21" s="293"/>
      <c r="N21" s="10"/>
    </row>
    <row r="22" spans="1:14" ht="12.75">
      <c r="A22">
        <v>20</v>
      </c>
      <c r="B22">
        <v>16.05</v>
      </c>
      <c r="C22">
        <v>645</v>
      </c>
      <c r="D22" s="185" t="s">
        <v>24</v>
      </c>
      <c r="H22" s="281">
        <v>16.05</v>
      </c>
      <c r="I22" s="281">
        <v>645</v>
      </c>
      <c r="K22" s="290"/>
      <c r="L22" s="293"/>
      <c r="N22" s="10"/>
    </row>
    <row r="23" spans="1:14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  <c r="H23" s="281">
        <v>23.05</v>
      </c>
      <c r="I23" s="281">
        <v>898</v>
      </c>
      <c r="K23" s="290"/>
      <c r="L23" s="293"/>
      <c r="N23" s="10"/>
    </row>
    <row r="24" spans="1:14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  <c r="H24" s="281">
        <v>26.05</v>
      </c>
      <c r="I24" s="281">
        <v>480</v>
      </c>
      <c r="J24" s="287">
        <v>1903</v>
      </c>
      <c r="K24" s="290" t="s">
        <v>493</v>
      </c>
      <c r="L24" s="293"/>
      <c r="N24" s="10"/>
    </row>
    <row r="25" spans="1:14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316</v>
      </c>
      <c r="H25" s="281">
        <v>7.06</v>
      </c>
      <c r="I25" s="281">
        <v>700</v>
      </c>
      <c r="K25" s="290"/>
      <c r="L25" s="293"/>
      <c r="N25" s="10"/>
    </row>
    <row r="26" spans="1:14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346</v>
      </c>
      <c r="H26" s="281">
        <v>12.06</v>
      </c>
      <c r="I26" s="284">
        <v>689</v>
      </c>
      <c r="J26" s="15"/>
      <c r="K26" s="292"/>
      <c r="L26" s="294"/>
      <c r="M26" s="15"/>
      <c r="N26" s="10"/>
    </row>
    <row r="27" spans="1:14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346</v>
      </c>
      <c r="H27" s="281">
        <v>16.06</v>
      </c>
      <c r="I27" s="284">
        <v>405</v>
      </c>
      <c r="J27" s="287">
        <v>1378</v>
      </c>
      <c r="K27" s="292" t="s">
        <v>495</v>
      </c>
      <c r="L27" s="294">
        <v>5284</v>
      </c>
      <c r="M27" s="294" t="s">
        <v>498</v>
      </c>
      <c r="N27" s="10"/>
    </row>
    <row r="28" spans="1:14" ht="12.75">
      <c r="A28">
        <v>23</v>
      </c>
      <c r="B28" s="107" t="s">
        <v>324</v>
      </c>
      <c r="C28">
        <f>SUM(C12:C27)</f>
        <v>7131</v>
      </c>
      <c r="D28" s="185" t="s">
        <v>24</v>
      </c>
      <c r="G28" s="181">
        <f>C28/2</f>
        <v>3565.5</v>
      </c>
      <c r="H28" s="284">
        <v>17.07</v>
      </c>
      <c r="I28" s="284">
        <v>1000</v>
      </c>
      <c r="J28" s="287">
        <v>2789</v>
      </c>
      <c r="K28" s="290" t="s">
        <v>494</v>
      </c>
      <c r="L28" s="293">
        <v>2677</v>
      </c>
      <c r="M28" s="293" t="s">
        <v>499</v>
      </c>
      <c r="N28" s="10"/>
    </row>
    <row r="29" spans="8:14" ht="12.75">
      <c r="H29" s="10" t="s">
        <v>501</v>
      </c>
      <c r="I29" s="10">
        <f>SUM(I13:I28)</f>
        <v>7919</v>
      </c>
      <c r="J29" s="10">
        <f>SUM(J12:J28)</f>
        <v>7989</v>
      </c>
      <c r="K29" s="10"/>
      <c r="L29" s="295">
        <f>SUM(L12:L28)</f>
        <v>7961</v>
      </c>
      <c r="N29" s="10"/>
    </row>
    <row r="30" spans="1:14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  <c r="H30" s="296" t="s">
        <v>465</v>
      </c>
      <c r="I30" s="297">
        <v>25</v>
      </c>
      <c r="J30" s="297"/>
      <c r="N30" s="10"/>
    </row>
    <row r="31" spans="8:14" ht="12.75">
      <c r="H31" s="296" t="s">
        <v>500</v>
      </c>
      <c r="I31" s="297">
        <v>80</v>
      </c>
      <c r="N31" s="10"/>
    </row>
    <row r="32" spans="2:14" ht="12.75">
      <c r="B32" s="159" t="s">
        <v>298</v>
      </c>
      <c r="C32" s="159">
        <v>2019</v>
      </c>
      <c r="D32" s="185" t="s">
        <v>289</v>
      </c>
      <c r="G32">
        <f>C32/2</f>
        <v>1009.5</v>
      </c>
      <c r="H32" s="296" t="s">
        <v>497</v>
      </c>
      <c r="I32" s="298">
        <v>10</v>
      </c>
      <c r="N32" s="10"/>
    </row>
    <row r="33" spans="1:14" ht="12.75">
      <c r="A33">
        <v>23</v>
      </c>
      <c r="B33" s="159" t="s">
        <v>288</v>
      </c>
      <c r="C33">
        <f>2019+1903+898+480+700+689+405</f>
        <v>7094</v>
      </c>
      <c r="D33" s="185" t="s">
        <v>289</v>
      </c>
      <c r="E33" s="10" t="s">
        <v>317</v>
      </c>
      <c r="G33" s="181">
        <f>C33/2</f>
        <v>3547</v>
      </c>
      <c r="I33" s="10">
        <f>SUM(I30:I32)</f>
        <v>115</v>
      </c>
      <c r="N33" s="10"/>
    </row>
    <row r="34" spans="8:14" ht="12.75">
      <c r="H34" s="301" t="s">
        <v>502</v>
      </c>
      <c r="I34" s="299">
        <v>7919</v>
      </c>
      <c r="J34">
        <f>SUM(J15:J27)</f>
        <v>5200</v>
      </c>
      <c r="L34">
        <v>5284</v>
      </c>
      <c r="N34" s="10"/>
    </row>
    <row r="35" spans="9:14" ht="12.75">
      <c r="I35" s="285">
        <v>200</v>
      </c>
      <c r="J35">
        <v>2789</v>
      </c>
      <c r="L35">
        <v>2677</v>
      </c>
      <c r="N35" s="10"/>
    </row>
    <row r="36" spans="9:14" ht="12.75">
      <c r="I36" s="301">
        <f>7919+200</f>
        <v>8119</v>
      </c>
      <c r="J36">
        <f>+SUM(J34:J35)</f>
        <v>7989</v>
      </c>
      <c r="K36" s="4" t="s">
        <v>504</v>
      </c>
      <c r="L36" s="159">
        <f>SUM(L34:L35)</f>
        <v>7961</v>
      </c>
      <c r="N36" s="10"/>
    </row>
    <row r="37" spans="9:14" ht="12.75">
      <c r="I37" s="300">
        <f>8119-7961</f>
        <v>158</v>
      </c>
      <c r="K37" s="286">
        <f>7961-7989</f>
        <v>-28</v>
      </c>
      <c r="L37" t="s">
        <v>503</v>
      </c>
      <c r="N37" s="10"/>
    </row>
    <row r="38" spans="9:14" ht="12.75">
      <c r="I38" s="15"/>
      <c r="K38" s="4"/>
      <c r="L38" s="159">
        <f>7961+115</f>
        <v>8076</v>
      </c>
      <c r="N38" s="10"/>
    </row>
    <row r="39" spans="9:14" ht="12.75">
      <c r="I39" s="285"/>
      <c r="K39">
        <f>8076-8119</f>
        <v>-43</v>
      </c>
      <c r="N39" s="10"/>
    </row>
    <row r="40" spans="8:14" ht="12.75">
      <c r="H40" s="10"/>
      <c r="I40" s="10"/>
      <c r="J40" s="10"/>
      <c r="K40" s="10"/>
      <c r="L40" s="10"/>
      <c r="M40" s="10"/>
      <c r="N40" s="10"/>
    </row>
    <row r="41" spans="8:11" ht="12.75">
      <c r="H41" s="15"/>
      <c r="I41" s="15"/>
      <c r="J41" s="15"/>
      <c r="K41" s="15"/>
    </row>
    <row r="42" spans="8:11" ht="12.75">
      <c r="H42" s="15"/>
      <c r="I42" s="15"/>
      <c r="J42" s="15"/>
      <c r="K42" s="15"/>
    </row>
    <row r="43" spans="8:11" ht="12.75">
      <c r="H43" s="15"/>
      <c r="I43" s="15"/>
      <c r="J43" s="15"/>
      <c r="K43" s="15"/>
    </row>
    <row r="44" spans="1:2" ht="12.75">
      <c r="A44" t="s">
        <v>399</v>
      </c>
      <c r="B44" t="s">
        <v>400</v>
      </c>
    </row>
    <row r="45" ht="12.75">
      <c r="B45" t="s">
        <v>401</v>
      </c>
    </row>
    <row r="46" ht="12.75">
      <c r="B46" t="s">
        <v>402</v>
      </c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workbookViewId="0" topLeftCell="G1">
      <selection activeCell="Q17" sqref="Q17"/>
    </sheetView>
  </sheetViews>
  <sheetFormatPr defaultColWidth="9.140625" defaultRowHeight="12.75"/>
  <cols>
    <col min="1" max="1" width="45.7109375" style="41" customWidth="1"/>
    <col min="2" max="2" width="10.00390625" style="41" customWidth="1"/>
    <col min="3" max="4" width="11.7109375" style="41" customWidth="1"/>
    <col min="5" max="5" width="12.7109375" style="41" customWidth="1"/>
    <col min="6" max="6" width="9.8515625" style="41" customWidth="1"/>
    <col min="7" max="8" width="9.140625" style="41" customWidth="1"/>
    <col min="9" max="9" width="9.8515625" style="41" customWidth="1"/>
    <col min="10" max="10" width="11.140625" style="41" customWidth="1"/>
    <col min="11" max="16384" width="9.140625" style="41" customWidth="1"/>
  </cols>
  <sheetData>
    <row r="1" spans="1:20" ht="76.5">
      <c r="A1" s="33" t="s">
        <v>0</v>
      </c>
      <c r="B1" s="35" t="s">
        <v>39</v>
      </c>
      <c r="C1" s="35" t="s">
        <v>44</v>
      </c>
      <c r="D1" s="35" t="s">
        <v>43</v>
      </c>
      <c r="E1" s="165" t="s">
        <v>507</v>
      </c>
      <c r="F1" s="229" t="s">
        <v>456</v>
      </c>
      <c r="G1" s="265" t="s">
        <v>446</v>
      </c>
      <c r="H1" s="265" t="s">
        <v>448</v>
      </c>
      <c r="I1" s="265" t="s">
        <v>447</v>
      </c>
      <c r="J1" s="265" t="s">
        <v>449</v>
      </c>
      <c r="K1" s="265" t="s">
        <v>451</v>
      </c>
      <c r="L1" s="265" t="s">
        <v>459</v>
      </c>
      <c r="M1" s="35" t="s">
        <v>45</v>
      </c>
      <c r="N1" s="35" t="s">
        <v>42</v>
      </c>
      <c r="O1" s="37" t="s">
        <v>461</v>
      </c>
      <c r="P1" s="305" t="s">
        <v>508</v>
      </c>
      <c r="Q1" s="276" t="s">
        <v>466</v>
      </c>
      <c r="R1" s="276" t="s">
        <v>462</v>
      </c>
      <c r="S1" s="276" t="s">
        <v>469</v>
      </c>
      <c r="T1" s="41" t="s">
        <v>230</v>
      </c>
    </row>
    <row r="2" spans="1:16" ht="12.75">
      <c r="A2" s="41" t="s">
        <v>506</v>
      </c>
      <c r="B2" s="84"/>
      <c r="C2" s="84"/>
      <c r="D2" s="84"/>
      <c r="E2" s="220"/>
      <c r="F2" s="230"/>
      <c r="I2" s="41" t="s">
        <v>445</v>
      </c>
      <c r="K2" s="41" t="s">
        <v>455</v>
      </c>
      <c r="M2" s="85"/>
      <c r="O2" s="46"/>
      <c r="P2" s="46"/>
    </row>
    <row r="3" spans="1:16" ht="12.75">
      <c r="A3" s="302" t="s">
        <v>505</v>
      </c>
      <c r="B3" s="55"/>
      <c r="C3" s="55"/>
      <c r="D3" s="55"/>
      <c r="E3" s="52"/>
      <c r="F3" s="53"/>
      <c r="M3" s="85"/>
      <c r="O3" s="56"/>
      <c r="P3" s="306" t="s">
        <v>509</v>
      </c>
    </row>
    <row r="4" spans="1:16" ht="12.75">
      <c r="A4" s="58"/>
      <c r="B4" s="55"/>
      <c r="C4" s="45">
        <v>4100</v>
      </c>
      <c r="D4" s="45">
        <f>$C4*5/100</f>
        <v>205</v>
      </c>
      <c r="E4" s="51"/>
      <c r="F4" s="52"/>
      <c r="M4" s="86">
        <v>350</v>
      </c>
      <c r="N4" s="88">
        <f>$M4*10/100</f>
        <v>35</v>
      </c>
      <c r="O4" s="87"/>
      <c r="P4" s="87"/>
    </row>
    <row r="5" spans="1:20" ht="12.75">
      <c r="A5" s="62" t="s">
        <v>61</v>
      </c>
      <c r="B5" s="65"/>
      <c r="C5" s="65"/>
      <c r="D5" s="65"/>
      <c r="E5" s="70"/>
      <c r="F5" s="67"/>
      <c r="G5" s="178"/>
      <c r="H5" s="178"/>
      <c r="I5" s="178"/>
      <c r="J5" s="178"/>
      <c r="K5" s="178"/>
      <c r="L5" s="178"/>
      <c r="M5" s="65"/>
      <c r="N5" s="178"/>
      <c r="O5" s="67"/>
      <c r="P5" s="67"/>
      <c r="Q5" s="178"/>
      <c r="R5" s="178"/>
      <c r="S5" s="178"/>
      <c r="T5" s="178"/>
    </row>
    <row r="6" spans="1:19" ht="12.75">
      <c r="A6" s="74" t="s">
        <v>144</v>
      </c>
      <c r="B6" s="76">
        <v>1</v>
      </c>
      <c r="C6" s="45">
        <f>$C$4</f>
        <v>4100</v>
      </c>
      <c r="D6" s="45">
        <f>$C6*5/100</f>
        <v>205</v>
      </c>
      <c r="E6" s="249">
        <v>3773</v>
      </c>
      <c r="F6" s="91"/>
      <c r="G6" s="266">
        <f>SUM($E6,$F6)</f>
        <v>3773</v>
      </c>
      <c r="H6" s="266">
        <f>SUM($E6,$F6)/$B6</f>
        <v>3773</v>
      </c>
      <c r="I6" s="266">
        <f>$E6/$B6/360</f>
        <v>10.480555555555556</v>
      </c>
      <c r="J6" s="81" t="s">
        <v>443</v>
      </c>
      <c r="K6" s="81" t="s">
        <v>452</v>
      </c>
      <c r="L6" s="273">
        <f>$G6-4305*$B6</f>
        <v>-532</v>
      </c>
      <c r="M6" s="86"/>
      <c r="O6" s="46">
        <f>B6*(C6+D6+M6+N6)-G6</f>
        <v>532</v>
      </c>
      <c r="P6" s="46"/>
      <c r="Q6" s="81">
        <v>600</v>
      </c>
      <c r="R6" s="81" t="s">
        <v>91</v>
      </c>
      <c r="S6" s="271">
        <f>$Q6-$O6</f>
        <v>68</v>
      </c>
    </row>
    <row r="7" spans="1:19" ht="12.75">
      <c r="A7" s="99" t="s">
        <v>145</v>
      </c>
      <c r="B7" s="84">
        <v>1</v>
      </c>
      <c r="C7" s="84"/>
      <c r="D7" s="84"/>
      <c r="E7" s="249">
        <v>203</v>
      </c>
      <c r="F7" s="91"/>
      <c r="G7" s="279">
        <f aca="true" t="shared" si="0" ref="G7:G21">SUM($E7,$F7)</f>
        <v>203</v>
      </c>
      <c r="H7" s="267">
        <f aca="true" t="shared" si="1" ref="H7:H21">SUM($E7,$F7)/$B7</f>
        <v>203</v>
      </c>
      <c r="I7" s="267"/>
      <c r="M7" s="277">
        <v>350</v>
      </c>
      <c r="N7" s="278">
        <f>$M7*10/100</f>
        <v>35</v>
      </c>
      <c r="O7" s="87"/>
      <c r="P7" s="87"/>
      <c r="Q7" s="82"/>
      <c r="S7" s="82"/>
    </row>
    <row r="8" spans="1:20" ht="12.75">
      <c r="A8" s="81" t="s">
        <v>46</v>
      </c>
      <c r="B8" s="44">
        <v>1</v>
      </c>
      <c r="C8" s="45">
        <f>$C$4</f>
        <v>4100</v>
      </c>
      <c r="D8" s="45">
        <f>$C8*5/100</f>
        <v>205</v>
      </c>
      <c r="E8" s="249">
        <f>3818+207</f>
        <v>4025</v>
      </c>
      <c r="F8" s="91"/>
      <c r="G8" s="266">
        <f t="shared" si="0"/>
        <v>4025</v>
      </c>
      <c r="H8" s="266">
        <f t="shared" si="1"/>
        <v>4025</v>
      </c>
      <c r="I8" s="266">
        <f aca="true" t="shared" si="2" ref="I8:I21">$E8/$B8/360</f>
        <v>11.180555555555555</v>
      </c>
      <c r="J8" s="81" t="s">
        <v>450</v>
      </c>
      <c r="K8" s="81" t="s">
        <v>453</v>
      </c>
      <c r="L8" s="273">
        <f>$G8-4305*$B8</f>
        <v>-280</v>
      </c>
      <c r="M8" s="86">
        <v>350</v>
      </c>
      <c r="N8" s="88">
        <f>$M8*10/100</f>
        <v>35</v>
      </c>
      <c r="O8" s="87">
        <f aca="true" t="shared" si="3" ref="O8:O21">B8*(C8+D8+M8+N8)-G8</f>
        <v>665</v>
      </c>
      <c r="P8" s="46"/>
      <c r="Q8" s="81">
        <v>500</v>
      </c>
      <c r="R8" s="81" t="s">
        <v>91</v>
      </c>
      <c r="S8" s="271">
        <f aca="true" t="shared" si="4" ref="S8:S18">$Q8-$O8</f>
        <v>-165</v>
      </c>
      <c r="T8" s="271">
        <v>203</v>
      </c>
    </row>
    <row r="9" spans="1:19" ht="12.75">
      <c r="A9" s="74" t="s">
        <v>147</v>
      </c>
      <c r="B9" s="44">
        <v>2</v>
      </c>
      <c r="C9" s="45">
        <f>$C$4</f>
        <v>4100</v>
      </c>
      <c r="D9" s="45">
        <f>$C9*5/100</f>
        <v>205</v>
      </c>
      <c r="E9" s="249">
        <f>5284+2677</f>
        <v>7961</v>
      </c>
      <c r="F9" s="91"/>
      <c r="G9" s="266">
        <f t="shared" si="0"/>
        <v>7961</v>
      </c>
      <c r="H9" s="266">
        <f t="shared" si="1"/>
        <v>3980.5</v>
      </c>
      <c r="I9" s="266">
        <f t="shared" si="2"/>
        <v>11.056944444444444</v>
      </c>
      <c r="J9" s="81" t="s">
        <v>450</v>
      </c>
      <c r="K9" s="81" t="s">
        <v>453</v>
      </c>
      <c r="L9" s="273">
        <f>$G9-4305*$B9</f>
        <v>-649</v>
      </c>
      <c r="M9" s="85"/>
      <c r="O9" s="46">
        <f t="shared" si="3"/>
        <v>649</v>
      </c>
      <c r="P9" s="46"/>
      <c r="Q9" s="81">
        <v>1550</v>
      </c>
      <c r="R9" s="81" t="s">
        <v>91</v>
      </c>
      <c r="S9" s="271">
        <f t="shared" si="4"/>
        <v>901</v>
      </c>
    </row>
    <row r="10" spans="1:19" ht="12.75">
      <c r="A10" s="99" t="s">
        <v>148</v>
      </c>
      <c r="B10" s="84">
        <v>1</v>
      </c>
      <c r="C10" s="84"/>
      <c r="D10" s="84"/>
      <c r="E10" s="82"/>
      <c r="F10" s="91"/>
      <c r="G10" s="267">
        <f t="shared" si="0"/>
        <v>0</v>
      </c>
      <c r="H10" s="267">
        <f t="shared" si="1"/>
        <v>0</v>
      </c>
      <c r="I10" s="267">
        <f t="shared" si="2"/>
        <v>0</v>
      </c>
      <c r="M10" s="86">
        <v>350</v>
      </c>
      <c r="N10" s="88">
        <f>$M10*10/100</f>
        <v>35</v>
      </c>
      <c r="O10" s="87">
        <f t="shared" si="3"/>
        <v>385</v>
      </c>
      <c r="P10" s="87"/>
      <c r="Q10" s="82"/>
      <c r="S10" s="243"/>
    </row>
    <row r="11" spans="1:19" ht="12.75">
      <c r="A11" s="81" t="s">
        <v>149</v>
      </c>
      <c r="B11" s="60">
        <v>61</v>
      </c>
      <c r="C11" s="45">
        <f>$C$4</f>
        <v>4100</v>
      </c>
      <c r="D11" s="45">
        <f>$C11*5/100</f>
        <v>205</v>
      </c>
      <c r="E11" s="249">
        <f>207000+3223</f>
        <v>210223</v>
      </c>
      <c r="F11" s="91"/>
      <c r="G11" s="266">
        <f t="shared" si="0"/>
        <v>210223</v>
      </c>
      <c r="H11" s="266">
        <f t="shared" si="1"/>
        <v>3446.27868852459</v>
      </c>
      <c r="I11" s="266">
        <f t="shared" si="2"/>
        <v>9.57299635701275</v>
      </c>
      <c r="J11" s="81" t="s">
        <v>443</v>
      </c>
      <c r="K11" s="81" t="s">
        <v>452</v>
      </c>
      <c r="L11" s="273">
        <f>$G11-4305*$B11</f>
        <v>-52382</v>
      </c>
      <c r="M11" s="85"/>
      <c r="O11" s="46">
        <f t="shared" si="3"/>
        <v>52382</v>
      </c>
      <c r="P11" s="46"/>
      <c r="Q11" s="81">
        <v>60000</v>
      </c>
      <c r="R11" s="81" t="s">
        <v>91</v>
      </c>
      <c r="S11" s="271">
        <f t="shared" si="4"/>
        <v>7618</v>
      </c>
    </row>
    <row r="12" spans="1:19" ht="12.75">
      <c r="A12" s="82" t="s">
        <v>336</v>
      </c>
      <c r="B12" s="86">
        <v>2</v>
      </c>
      <c r="C12" s="86"/>
      <c r="D12" s="86"/>
      <c r="E12" s="88"/>
      <c r="F12" s="91"/>
      <c r="G12" s="267">
        <f t="shared" si="0"/>
        <v>0</v>
      </c>
      <c r="H12" s="267">
        <f t="shared" si="1"/>
        <v>0</v>
      </c>
      <c r="I12" s="267">
        <f t="shared" si="2"/>
        <v>0</v>
      </c>
      <c r="M12" s="86">
        <v>350</v>
      </c>
      <c r="N12" s="88">
        <f>$M12*10/100</f>
        <v>35</v>
      </c>
      <c r="O12" s="87">
        <f t="shared" si="3"/>
        <v>770</v>
      </c>
      <c r="P12" s="87"/>
      <c r="Q12" s="82"/>
      <c r="S12" s="243"/>
    </row>
    <row r="13" spans="1:20" ht="12.75">
      <c r="A13" s="74" t="s">
        <v>20</v>
      </c>
      <c r="B13" s="44">
        <v>183</v>
      </c>
      <c r="C13" s="45">
        <f>$C$4</f>
        <v>4100</v>
      </c>
      <c r="D13" s="45">
        <f>$C13*5/100</f>
        <v>205</v>
      </c>
      <c r="E13" s="249">
        <f>346854+154876</f>
        <v>501730</v>
      </c>
      <c r="F13" s="264">
        <f>25470+20000+27450+20360+8237+14916+19488</f>
        <v>135921</v>
      </c>
      <c r="G13" s="266">
        <f t="shared" si="0"/>
        <v>637651</v>
      </c>
      <c r="H13" s="266">
        <f t="shared" si="1"/>
        <v>3484.431693989071</v>
      </c>
      <c r="I13" s="266">
        <f t="shared" si="2"/>
        <v>7.615816636308439</v>
      </c>
      <c r="J13" s="81" t="s">
        <v>444</v>
      </c>
      <c r="K13" s="280" t="s">
        <v>454</v>
      </c>
      <c r="L13" s="273">
        <f>$G13-4305*$B13</f>
        <v>-150164</v>
      </c>
      <c r="M13" s="86"/>
      <c r="O13" s="46">
        <f t="shared" si="3"/>
        <v>150164</v>
      </c>
      <c r="P13" s="306">
        <f>25490+20002</f>
        <v>45492</v>
      </c>
      <c r="Q13" s="81">
        <v>103700</v>
      </c>
      <c r="R13" s="81" t="s">
        <v>91</v>
      </c>
      <c r="S13" s="304">
        <f t="shared" si="4"/>
        <v>-46464</v>
      </c>
      <c r="T13" s="280">
        <f>-(94000+103700-169652)</f>
        <v>-28048</v>
      </c>
    </row>
    <row r="14" spans="1:19" ht="12.75">
      <c r="A14" s="99" t="s">
        <v>150</v>
      </c>
      <c r="B14" s="84">
        <v>9</v>
      </c>
      <c r="C14" s="85"/>
      <c r="D14" s="85"/>
      <c r="E14" s="88"/>
      <c r="F14" s="264">
        <v>90</v>
      </c>
      <c r="G14" s="267">
        <f t="shared" si="0"/>
        <v>90</v>
      </c>
      <c r="H14" s="267">
        <f t="shared" si="1"/>
        <v>10</v>
      </c>
      <c r="I14" s="267">
        <f t="shared" si="2"/>
        <v>0</v>
      </c>
      <c r="M14" s="86">
        <v>350</v>
      </c>
      <c r="N14" s="88">
        <f>$M14*10/100</f>
        <v>35</v>
      </c>
      <c r="O14" s="87">
        <f t="shared" si="3"/>
        <v>3375</v>
      </c>
      <c r="P14" s="87"/>
      <c r="Q14" s="82"/>
      <c r="S14" s="243"/>
    </row>
    <row r="15" spans="1:19" ht="12.75">
      <c r="A15" s="99" t="s">
        <v>151</v>
      </c>
      <c r="B15" s="84">
        <v>3</v>
      </c>
      <c r="C15" s="86"/>
      <c r="D15" s="84"/>
      <c r="E15" s="88"/>
      <c r="F15" s="91"/>
      <c r="G15" s="267">
        <f t="shared" si="0"/>
        <v>0</v>
      </c>
      <c r="H15" s="267">
        <f t="shared" si="1"/>
        <v>0</v>
      </c>
      <c r="I15" s="267">
        <f t="shared" si="2"/>
        <v>0</v>
      </c>
      <c r="M15" s="86" t="s">
        <v>230</v>
      </c>
      <c r="O15" s="87" t="e">
        <f t="shared" si="3"/>
        <v>#VALUE!</v>
      </c>
      <c r="P15" s="87"/>
      <c r="Q15" s="82"/>
      <c r="S15" s="243"/>
    </row>
    <row r="16" spans="1:19" ht="12.75">
      <c r="A16" s="74" t="s">
        <v>21</v>
      </c>
      <c r="B16" s="44">
        <v>6</v>
      </c>
      <c r="C16" s="45">
        <f>$C$4</f>
        <v>4100</v>
      </c>
      <c r="D16" s="45">
        <f>$C16*5/100</f>
        <v>205</v>
      </c>
      <c r="E16" s="249">
        <f>10604+13190</f>
        <v>23794</v>
      </c>
      <c r="F16" s="264">
        <v>2400</v>
      </c>
      <c r="G16" s="266">
        <f t="shared" si="0"/>
        <v>26194</v>
      </c>
      <c r="H16" s="269">
        <f t="shared" si="1"/>
        <v>4365.666666666667</v>
      </c>
      <c r="I16" s="266">
        <f>$E16/$B16/360</f>
        <v>11.01574074074074</v>
      </c>
      <c r="J16" s="81" t="s">
        <v>450</v>
      </c>
      <c r="K16" s="81" t="s">
        <v>453</v>
      </c>
      <c r="L16" s="273"/>
      <c r="M16" s="86"/>
      <c r="O16" s="46">
        <f t="shared" si="3"/>
        <v>-364</v>
      </c>
      <c r="P16" s="46"/>
      <c r="Q16" s="81">
        <v>3400</v>
      </c>
      <c r="R16" s="81" t="s">
        <v>91</v>
      </c>
      <c r="S16" s="271">
        <f t="shared" si="4"/>
        <v>3764</v>
      </c>
    </row>
    <row r="17" spans="1:20" ht="12.75">
      <c r="A17" s="74" t="s">
        <v>68</v>
      </c>
      <c r="B17" s="44">
        <v>1</v>
      </c>
      <c r="C17" s="45">
        <f>$C$4</f>
        <v>4100</v>
      </c>
      <c r="D17" s="45">
        <f>$C17*5/100</f>
        <v>205</v>
      </c>
      <c r="E17" s="249">
        <v>4003</v>
      </c>
      <c r="F17" s="91"/>
      <c r="G17" s="266">
        <f t="shared" si="0"/>
        <v>4003</v>
      </c>
      <c r="H17" s="266">
        <f t="shared" si="1"/>
        <v>4003</v>
      </c>
      <c r="I17" s="266"/>
      <c r="J17" s="81"/>
      <c r="K17" s="81"/>
      <c r="M17" s="86">
        <v>350</v>
      </c>
      <c r="N17" s="88">
        <f>$M17*10/100</f>
        <v>35</v>
      </c>
      <c r="O17" s="87">
        <f t="shared" si="3"/>
        <v>687</v>
      </c>
      <c r="P17" s="46"/>
      <c r="Q17" s="81">
        <v>650</v>
      </c>
      <c r="R17" s="81" t="s">
        <v>91</v>
      </c>
      <c r="S17" s="307">
        <f t="shared" si="4"/>
        <v>-37</v>
      </c>
      <c r="T17" s="41" t="s">
        <v>510</v>
      </c>
    </row>
    <row r="18" spans="1:19" ht="12.75">
      <c r="A18" s="74" t="s">
        <v>69</v>
      </c>
      <c r="B18" s="44">
        <v>1</v>
      </c>
      <c r="C18" s="45">
        <f>$C$4</f>
        <v>4100</v>
      </c>
      <c r="D18" s="45">
        <f>$C18*5/100</f>
        <v>205</v>
      </c>
      <c r="E18" s="249">
        <v>3590</v>
      </c>
      <c r="F18" s="91"/>
      <c r="G18" s="266">
        <f t="shared" si="0"/>
        <v>3590</v>
      </c>
      <c r="H18" s="266">
        <f t="shared" si="1"/>
        <v>3590</v>
      </c>
      <c r="I18" s="266">
        <f t="shared" si="2"/>
        <v>9.972222222222221</v>
      </c>
      <c r="J18" s="81" t="s">
        <v>443</v>
      </c>
      <c r="K18" s="81" t="s">
        <v>452</v>
      </c>
      <c r="L18" s="273">
        <f>$G18-4305*$B18</f>
        <v>-715</v>
      </c>
      <c r="M18" s="86"/>
      <c r="O18" s="46">
        <f t="shared" si="3"/>
        <v>715</v>
      </c>
      <c r="P18" s="46"/>
      <c r="Q18" s="81">
        <v>800</v>
      </c>
      <c r="R18" s="81" t="s">
        <v>91</v>
      </c>
      <c r="S18" s="271">
        <f t="shared" si="4"/>
        <v>85</v>
      </c>
    </row>
    <row r="19" spans="1:20" ht="12.75">
      <c r="A19" s="101" t="s">
        <v>22</v>
      </c>
      <c r="B19" s="65"/>
      <c r="C19" s="65"/>
      <c r="D19" s="102"/>
      <c r="E19" s="70"/>
      <c r="F19" s="67"/>
      <c r="G19" s="178"/>
      <c r="H19" s="178"/>
      <c r="I19" s="178"/>
      <c r="J19" s="178"/>
      <c r="K19" s="178"/>
      <c r="L19" s="178"/>
      <c r="M19" s="65"/>
      <c r="N19" s="178"/>
      <c r="O19" s="67"/>
      <c r="P19" s="67"/>
      <c r="Q19" s="178"/>
      <c r="R19" s="178"/>
      <c r="S19" s="178"/>
      <c r="T19" s="178"/>
    </row>
    <row r="20" spans="1:19" ht="12.75">
      <c r="A20" s="74" t="s">
        <v>77</v>
      </c>
      <c r="B20" s="44">
        <v>4</v>
      </c>
      <c r="C20" s="45">
        <f>$C$4</f>
        <v>4100</v>
      </c>
      <c r="D20" s="262">
        <v>410</v>
      </c>
      <c r="E20" s="256">
        <v>14497</v>
      </c>
      <c r="F20" s="91"/>
      <c r="G20" s="266">
        <f t="shared" si="0"/>
        <v>14497</v>
      </c>
      <c r="H20" s="266">
        <f t="shared" si="1"/>
        <v>3624.25</v>
      </c>
      <c r="I20" s="266">
        <f t="shared" si="2"/>
        <v>10.067361111111111</v>
      </c>
      <c r="J20" s="81" t="s">
        <v>443</v>
      </c>
      <c r="K20" s="81" t="s">
        <v>452</v>
      </c>
      <c r="L20" s="274">
        <f>$G20-4305*$B20</f>
        <v>-2723</v>
      </c>
      <c r="M20" s="86">
        <v>0</v>
      </c>
      <c r="N20" s="41">
        <v>0</v>
      </c>
      <c r="O20" s="275">
        <f>$B20*($C20+$D20+$M20+$N20)-$G20</f>
        <v>3543</v>
      </c>
      <c r="P20" s="46"/>
      <c r="Q20" s="81">
        <v>3600</v>
      </c>
      <c r="R20" s="81" t="s">
        <v>91</v>
      </c>
      <c r="S20" s="271">
        <f>$Q20-$O20</f>
        <v>57</v>
      </c>
    </row>
    <row r="21" spans="1:19" ht="12.75">
      <c r="A21" s="74" t="s">
        <v>78</v>
      </c>
      <c r="B21" s="44">
        <v>2</v>
      </c>
      <c r="C21" s="45">
        <f>$C$4</f>
        <v>4100</v>
      </c>
      <c r="D21" s="262">
        <v>410</v>
      </c>
      <c r="E21" s="256">
        <v>7207</v>
      </c>
      <c r="F21" s="91"/>
      <c r="G21" s="266">
        <f t="shared" si="0"/>
        <v>7207</v>
      </c>
      <c r="H21" s="266">
        <f t="shared" si="1"/>
        <v>3603.5</v>
      </c>
      <c r="I21" s="266">
        <f t="shared" si="2"/>
        <v>10.009722222222223</v>
      </c>
      <c r="J21" s="81" t="s">
        <v>443</v>
      </c>
      <c r="K21" s="81" t="s">
        <v>452</v>
      </c>
      <c r="L21" s="274">
        <f>$G21-4305*$B21</f>
        <v>-1403</v>
      </c>
      <c r="M21" s="86"/>
      <c r="O21" s="275">
        <f t="shared" si="3"/>
        <v>1813</v>
      </c>
      <c r="P21" s="46"/>
      <c r="Q21" s="81">
        <v>2200</v>
      </c>
      <c r="R21" s="81" t="s">
        <v>91</v>
      </c>
      <c r="S21" s="271">
        <f>$Q21-$O21</f>
        <v>387</v>
      </c>
    </row>
    <row r="22" spans="1:20" ht="12.75">
      <c r="A22" s="101" t="s">
        <v>15</v>
      </c>
      <c r="B22" s="65"/>
      <c r="C22" s="65"/>
      <c r="D22" s="66"/>
      <c r="E22" s="70"/>
      <c r="F22" s="67"/>
      <c r="G22" s="178"/>
      <c r="H22" s="178"/>
      <c r="I22" s="178"/>
      <c r="J22" s="178"/>
      <c r="K22" s="178"/>
      <c r="L22" s="178"/>
      <c r="M22" s="66"/>
      <c r="N22" s="178"/>
      <c r="O22" s="178"/>
      <c r="P22" s="178"/>
      <c r="Q22" s="178"/>
      <c r="R22" s="178"/>
      <c r="S22" s="178"/>
      <c r="T22" s="178"/>
    </row>
    <row r="23" spans="1:19" ht="12.75">
      <c r="A23" s="74" t="s">
        <v>48</v>
      </c>
      <c r="B23" s="44">
        <v>1</v>
      </c>
      <c r="C23" s="45">
        <f aca="true" t="shared" si="5" ref="C23:C28">$C$4</f>
        <v>4100</v>
      </c>
      <c r="D23" s="45">
        <f aca="true" t="shared" si="6" ref="D23:D28">$C23*5/100</f>
        <v>205</v>
      </c>
      <c r="E23" s="249">
        <v>3780</v>
      </c>
      <c r="F23" s="264">
        <v>600</v>
      </c>
      <c r="G23" s="266">
        <f aca="true" t="shared" si="7" ref="G23:G28">SUM($E23,$F23)</f>
        <v>4380</v>
      </c>
      <c r="H23" s="266">
        <f aca="true" t="shared" si="8" ref="H23:H28">SUM($E23,$F23)/$B23</f>
        <v>4380</v>
      </c>
      <c r="I23" s="266">
        <f aca="true" t="shared" si="9" ref="I23:I28">$E23/$B23/360</f>
        <v>10.5</v>
      </c>
      <c r="J23" s="81" t="s">
        <v>450</v>
      </c>
      <c r="K23" s="81" t="s">
        <v>453</v>
      </c>
      <c r="L23" s="273">
        <f>$G23-4305*$B23</f>
        <v>75</v>
      </c>
      <c r="M23" s="86"/>
      <c r="O23" s="46">
        <f aca="true" t="shared" si="10" ref="O23:O28">B23*(C23+D23+M23+N23)-G23</f>
        <v>-75</v>
      </c>
      <c r="P23" s="306">
        <v>600</v>
      </c>
      <c r="Q23" s="270">
        <v>600</v>
      </c>
      <c r="R23" s="81" t="s">
        <v>463</v>
      </c>
      <c r="S23" s="271">
        <f aca="true" t="shared" si="11" ref="S23:S28">$Q23-$O23</f>
        <v>675</v>
      </c>
    </row>
    <row r="24" spans="1:19" ht="12.75">
      <c r="A24" s="74" t="s">
        <v>50</v>
      </c>
      <c r="B24" s="76">
        <v>2</v>
      </c>
      <c r="C24" s="45">
        <f t="shared" si="5"/>
        <v>4100</v>
      </c>
      <c r="D24" s="45">
        <f t="shared" si="6"/>
        <v>205</v>
      </c>
      <c r="E24" s="249">
        <v>8128</v>
      </c>
      <c r="F24" s="91"/>
      <c r="G24" s="266">
        <f t="shared" si="7"/>
        <v>8128</v>
      </c>
      <c r="H24" s="266">
        <f t="shared" si="8"/>
        <v>4064</v>
      </c>
      <c r="I24" s="266">
        <f t="shared" si="9"/>
        <v>11.28888888888889</v>
      </c>
      <c r="J24" s="81" t="s">
        <v>450</v>
      </c>
      <c r="K24" s="81" t="s">
        <v>453</v>
      </c>
      <c r="L24" s="273">
        <f>$G24-4305*$B24</f>
        <v>-482</v>
      </c>
      <c r="M24" s="86"/>
      <c r="O24" s="46">
        <f t="shared" si="10"/>
        <v>482</v>
      </c>
      <c r="P24" s="46">
        <v>86</v>
      </c>
      <c r="Q24" s="81">
        <v>420</v>
      </c>
      <c r="R24" s="81" t="s">
        <v>91</v>
      </c>
      <c r="S24" s="243">
        <f t="shared" si="11"/>
        <v>-62</v>
      </c>
    </row>
    <row r="25" spans="1:19" ht="12.75">
      <c r="A25" s="74" t="s">
        <v>51</v>
      </c>
      <c r="B25" s="44">
        <v>2</v>
      </c>
      <c r="C25" s="45">
        <f t="shared" si="5"/>
        <v>4100</v>
      </c>
      <c r="D25" s="45">
        <f t="shared" si="6"/>
        <v>205</v>
      </c>
      <c r="E25" s="249">
        <f>8300+1000</f>
        <v>9300</v>
      </c>
      <c r="F25" s="91"/>
      <c r="G25" s="266">
        <f t="shared" si="7"/>
        <v>9300</v>
      </c>
      <c r="H25" s="271">
        <f t="shared" si="8"/>
        <v>4650</v>
      </c>
      <c r="I25" s="266">
        <f t="shared" si="9"/>
        <v>12.916666666666666</v>
      </c>
      <c r="J25" s="81"/>
      <c r="K25" s="270"/>
      <c r="M25" s="86">
        <v>350</v>
      </c>
      <c r="N25" s="88">
        <f>$M25*10/100</f>
        <v>35</v>
      </c>
      <c r="O25" s="87">
        <f t="shared" si="10"/>
        <v>80</v>
      </c>
      <c r="P25" s="46"/>
      <c r="Q25" s="81">
        <v>0</v>
      </c>
      <c r="R25" s="81"/>
      <c r="S25" s="243">
        <f t="shared" si="11"/>
        <v>-80</v>
      </c>
    </row>
    <row r="26" spans="1:19" ht="12.75">
      <c r="A26" s="107" t="s">
        <v>97</v>
      </c>
      <c r="B26" s="44">
        <v>4</v>
      </c>
      <c r="C26" s="45">
        <f t="shared" si="5"/>
        <v>4100</v>
      </c>
      <c r="D26" s="45">
        <f>$C26*30/100</f>
        <v>1230</v>
      </c>
      <c r="E26" s="249">
        <v>16400</v>
      </c>
      <c r="F26" s="264">
        <v>3000</v>
      </c>
      <c r="G26" s="266">
        <f t="shared" si="7"/>
        <v>19400</v>
      </c>
      <c r="H26" s="271">
        <f t="shared" si="8"/>
        <v>4850</v>
      </c>
      <c r="I26" s="266">
        <f t="shared" si="9"/>
        <v>11.38888888888889</v>
      </c>
      <c r="J26" s="81" t="s">
        <v>450</v>
      </c>
      <c r="K26" s="81" t="s">
        <v>453</v>
      </c>
      <c r="L26" s="273">
        <f>$G26-4305*$B26</f>
        <v>2180</v>
      </c>
      <c r="M26" s="86">
        <v>350</v>
      </c>
      <c r="N26" s="88">
        <f>$M26*30/100</f>
        <v>105</v>
      </c>
      <c r="O26" s="87">
        <f>B26*(C26+D26+M26+N26)-G26</f>
        <v>3740</v>
      </c>
      <c r="P26" s="46"/>
      <c r="Q26" s="270">
        <v>3000</v>
      </c>
      <c r="R26" s="81" t="s">
        <v>24</v>
      </c>
      <c r="S26" s="243">
        <f t="shared" si="11"/>
        <v>-740</v>
      </c>
    </row>
    <row r="27" spans="1:19" ht="12.75">
      <c r="A27" s="74" t="s">
        <v>55</v>
      </c>
      <c r="B27" s="44">
        <v>18</v>
      </c>
      <c r="C27" s="45">
        <f t="shared" si="5"/>
        <v>4100</v>
      </c>
      <c r="D27" s="45">
        <f t="shared" si="6"/>
        <v>205</v>
      </c>
      <c r="E27" s="249">
        <v>73100</v>
      </c>
      <c r="F27" s="264">
        <v>11300</v>
      </c>
      <c r="G27" s="266">
        <f t="shared" si="7"/>
        <v>84400</v>
      </c>
      <c r="H27" s="271">
        <f t="shared" si="8"/>
        <v>4688.888888888889</v>
      </c>
      <c r="I27" s="266">
        <f t="shared" si="9"/>
        <v>11.280864197530864</v>
      </c>
      <c r="J27" s="81" t="s">
        <v>450</v>
      </c>
      <c r="K27" s="81" t="s">
        <v>453</v>
      </c>
      <c r="L27" s="273">
        <f>$G27-4305*$B27</f>
        <v>6910</v>
      </c>
      <c r="M27" s="86">
        <v>350</v>
      </c>
      <c r="N27" s="88">
        <f>$M27*10/100</f>
        <v>35</v>
      </c>
      <c r="O27" s="87">
        <f t="shared" si="10"/>
        <v>20</v>
      </c>
      <c r="P27" s="46"/>
      <c r="Q27" s="270">
        <v>11300</v>
      </c>
      <c r="R27" s="81" t="s">
        <v>24</v>
      </c>
      <c r="S27" s="271">
        <f t="shared" si="11"/>
        <v>11280</v>
      </c>
    </row>
    <row r="28" spans="1:19" ht="12.75">
      <c r="A28" s="109" t="s">
        <v>37</v>
      </c>
      <c r="B28" s="44">
        <v>6</v>
      </c>
      <c r="C28" s="45">
        <f t="shared" si="5"/>
        <v>4100</v>
      </c>
      <c r="D28" s="45">
        <f t="shared" si="6"/>
        <v>205</v>
      </c>
      <c r="E28" s="249">
        <f>45600</f>
        <v>45600</v>
      </c>
      <c r="F28" s="91"/>
      <c r="G28" s="266">
        <f t="shared" si="7"/>
        <v>45600</v>
      </c>
      <c r="H28" s="272">
        <f t="shared" si="8"/>
        <v>7600</v>
      </c>
      <c r="I28" s="266">
        <f t="shared" si="9"/>
        <v>21.11111111111111</v>
      </c>
      <c r="J28" s="82"/>
      <c r="M28" s="86">
        <v>350</v>
      </c>
      <c r="N28" s="88">
        <f>$M28*10/100</f>
        <v>35</v>
      </c>
      <c r="O28" s="87">
        <f t="shared" si="10"/>
        <v>-17460</v>
      </c>
      <c r="P28" s="46"/>
      <c r="Q28" s="81"/>
      <c r="R28" s="81"/>
      <c r="S28" s="271">
        <f t="shared" si="11"/>
        <v>17460</v>
      </c>
    </row>
    <row r="29" spans="1:20" ht="12.75">
      <c r="A29" s="101" t="s">
        <v>25</v>
      </c>
      <c r="B29" s="116"/>
      <c r="C29" s="116"/>
      <c r="D29" s="117"/>
      <c r="E29" s="122"/>
      <c r="F29" s="121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1:19" ht="12.75">
      <c r="A30" s="109" t="s">
        <v>85</v>
      </c>
      <c r="B30" s="110">
        <v>1</v>
      </c>
      <c r="C30" s="45">
        <f aca="true" t="shared" si="12" ref="C30:C44">$C$4</f>
        <v>4100</v>
      </c>
      <c r="D30" s="45">
        <f aca="true" t="shared" si="13" ref="D30:D44">$C30*5/100</f>
        <v>205</v>
      </c>
      <c r="E30" s="249">
        <v>4080</v>
      </c>
      <c r="F30" s="91"/>
      <c r="G30" s="266">
        <f aca="true" t="shared" si="14" ref="G30:G44">SUM($E30,$F30)</f>
        <v>4080</v>
      </c>
      <c r="H30" s="266">
        <f aca="true" t="shared" si="15" ref="H30:H44">SUM($E30,$F30)/$B30</f>
        <v>4080</v>
      </c>
      <c r="I30" s="266">
        <f aca="true" t="shared" si="16" ref="I30:I44">$E30/$B30/360</f>
        <v>11.333333333333334</v>
      </c>
      <c r="J30" s="81" t="s">
        <v>450</v>
      </c>
      <c r="K30" s="81" t="s">
        <v>453</v>
      </c>
      <c r="L30" s="273">
        <f>$G30-4305*$B30</f>
        <v>-225</v>
      </c>
      <c r="M30" s="41">
        <v>350</v>
      </c>
      <c r="N30" s="88">
        <f aca="true" t="shared" si="17" ref="N30:N44">$M30*10/100</f>
        <v>35</v>
      </c>
      <c r="O30" s="87">
        <f aca="true" t="shared" si="18" ref="O30:O44">B30*(C30+D30+M30+N30)-G30</f>
        <v>610</v>
      </c>
      <c r="P30" s="46"/>
      <c r="Q30" s="81">
        <v>600</v>
      </c>
      <c r="R30" s="81" t="s">
        <v>91</v>
      </c>
      <c r="S30" s="243">
        <f>$Q30-$O30</f>
        <v>-10</v>
      </c>
    </row>
    <row r="31" spans="1:19" ht="12.75">
      <c r="A31" s="109" t="s">
        <v>86</v>
      </c>
      <c r="B31" s="110">
        <v>1</v>
      </c>
      <c r="C31" s="45">
        <f t="shared" si="12"/>
        <v>4100</v>
      </c>
      <c r="D31" s="45">
        <f t="shared" si="13"/>
        <v>205</v>
      </c>
      <c r="E31" s="249">
        <f>4080+14</f>
        <v>4094</v>
      </c>
      <c r="F31" s="91"/>
      <c r="G31" s="266">
        <f t="shared" si="14"/>
        <v>4094</v>
      </c>
      <c r="H31" s="266">
        <f t="shared" si="15"/>
        <v>4094</v>
      </c>
      <c r="I31" s="266">
        <f t="shared" si="16"/>
        <v>11.372222222222222</v>
      </c>
      <c r="J31" s="81" t="s">
        <v>450</v>
      </c>
      <c r="K31" s="81" t="s">
        <v>453</v>
      </c>
      <c r="L31" s="273">
        <f>$G31-4305*$B31</f>
        <v>-211</v>
      </c>
      <c r="M31" s="41">
        <v>350</v>
      </c>
      <c r="N31" s="88">
        <f t="shared" si="17"/>
        <v>35</v>
      </c>
      <c r="O31" s="87">
        <f t="shared" si="18"/>
        <v>596</v>
      </c>
      <c r="P31" s="306">
        <v>660</v>
      </c>
      <c r="Q31" s="81">
        <v>650</v>
      </c>
      <c r="R31" s="81" t="s">
        <v>91</v>
      </c>
      <c r="S31" s="271">
        <f aca="true" t="shared" si="19" ref="S31:S44">$Q31-$O31</f>
        <v>54</v>
      </c>
    </row>
    <row r="32" spans="1:19" ht="12.75">
      <c r="A32" s="109" t="s">
        <v>34</v>
      </c>
      <c r="B32" s="110">
        <v>3</v>
      </c>
      <c r="C32" s="45">
        <f t="shared" si="12"/>
        <v>4100</v>
      </c>
      <c r="D32" s="45">
        <f t="shared" si="13"/>
        <v>205</v>
      </c>
      <c r="E32" s="249">
        <f>11432+70</f>
        <v>11502</v>
      </c>
      <c r="F32" s="91"/>
      <c r="G32" s="266">
        <f t="shared" si="14"/>
        <v>11502</v>
      </c>
      <c r="H32" s="266">
        <f t="shared" si="15"/>
        <v>3834</v>
      </c>
      <c r="I32" s="266">
        <f t="shared" si="16"/>
        <v>10.65</v>
      </c>
      <c r="J32" s="81" t="s">
        <v>450</v>
      </c>
      <c r="K32" s="81" t="s">
        <v>453</v>
      </c>
      <c r="L32" s="273">
        <f>$G32-4305*$B32</f>
        <v>-1413</v>
      </c>
      <c r="M32" s="41">
        <v>350</v>
      </c>
      <c r="N32" s="88">
        <f t="shared" si="17"/>
        <v>35</v>
      </c>
      <c r="O32" s="87">
        <f t="shared" si="18"/>
        <v>2568</v>
      </c>
      <c r="P32" s="46"/>
      <c r="Q32" s="81" t="s">
        <v>471</v>
      </c>
      <c r="R32" s="81" t="s">
        <v>91</v>
      </c>
      <c r="S32" s="243"/>
    </row>
    <row r="33" spans="1:19" ht="12.75">
      <c r="A33" s="109" t="s">
        <v>36</v>
      </c>
      <c r="B33" s="110">
        <v>3</v>
      </c>
      <c r="C33" s="45">
        <f t="shared" si="12"/>
        <v>4100</v>
      </c>
      <c r="D33" s="45">
        <f t="shared" si="13"/>
        <v>205</v>
      </c>
      <c r="E33" s="249">
        <f>9530+1910</f>
        <v>11440</v>
      </c>
      <c r="F33" s="91"/>
      <c r="G33" s="266">
        <f t="shared" si="14"/>
        <v>11440</v>
      </c>
      <c r="H33" s="266">
        <f t="shared" si="15"/>
        <v>3813.3333333333335</v>
      </c>
      <c r="I33" s="266">
        <f t="shared" si="16"/>
        <v>10.592592592592593</v>
      </c>
      <c r="J33" s="81" t="s">
        <v>450</v>
      </c>
      <c r="K33" s="81" t="s">
        <v>453</v>
      </c>
      <c r="L33" s="273">
        <f>$G33-4305*$B33</f>
        <v>-1475</v>
      </c>
      <c r="M33" s="41">
        <v>350</v>
      </c>
      <c r="N33" s="88">
        <f t="shared" si="17"/>
        <v>35</v>
      </c>
      <c r="O33" s="87">
        <f t="shared" si="18"/>
        <v>2630</v>
      </c>
      <c r="P33" s="46"/>
      <c r="Q33" s="81" t="s">
        <v>472</v>
      </c>
      <c r="R33" s="81" t="s">
        <v>91</v>
      </c>
      <c r="S33" s="243"/>
    </row>
    <row r="34" spans="1:19" ht="12.75">
      <c r="A34" s="109" t="s">
        <v>37</v>
      </c>
      <c r="B34" s="110">
        <v>6</v>
      </c>
      <c r="C34" s="45">
        <f t="shared" si="12"/>
        <v>4100</v>
      </c>
      <c r="D34" s="45">
        <f t="shared" si="13"/>
        <v>205</v>
      </c>
      <c r="E34" s="249">
        <f>24000+2000</f>
        <v>26000</v>
      </c>
      <c r="F34" s="91"/>
      <c r="G34" s="266">
        <f t="shared" si="14"/>
        <v>26000</v>
      </c>
      <c r="H34" s="266">
        <f t="shared" si="15"/>
        <v>4333.333333333333</v>
      </c>
      <c r="I34" s="266">
        <f t="shared" si="16"/>
        <v>12.037037037037036</v>
      </c>
      <c r="M34" s="41">
        <v>350</v>
      </c>
      <c r="N34" s="88">
        <f t="shared" si="17"/>
        <v>35</v>
      </c>
      <c r="O34" s="87">
        <f t="shared" si="18"/>
        <v>2140</v>
      </c>
      <c r="P34" s="46"/>
      <c r="Q34" s="280"/>
      <c r="R34" s="81" t="s">
        <v>289</v>
      </c>
      <c r="S34" s="243">
        <f>$Q34-$O34</f>
        <v>-2140</v>
      </c>
    </row>
    <row r="35" spans="1:19" ht="12.75">
      <c r="A35" s="109" t="s">
        <v>38</v>
      </c>
      <c r="B35" s="110">
        <v>3</v>
      </c>
      <c r="C35" s="45">
        <f t="shared" si="12"/>
        <v>4100</v>
      </c>
      <c r="D35" s="45">
        <f t="shared" si="13"/>
        <v>205</v>
      </c>
      <c r="E35" s="249">
        <v>24400</v>
      </c>
      <c r="F35" s="91"/>
      <c r="G35" s="266">
        <f t="shared" si="14"/>
        <v>24400</v>
      </c>
      <c r="H35" s="266">
        <f t="shared" si="15"/>
        <v>8133.333333333333</v>
      </c>
      <c r="I35" s="266">
        <f t="shared" si="16"/>
        <v>22.59259259259259</v>
      </c>
      <c r="M35" s="41">
        <v>350</v>
      </c>
      <c r="N35" s="88">
        <f t="shared" si="17"/>
        <v>35</v>
      </c>
      <c r="O35" s="87">
        <f t="shared" si="18"/>
        <v>-10330</v>
      </c>
      <c r="P35" s="46"/>
      <c r="Q35" s="280"/>
      <c r="R35" s="81" t="s">
        <v>289</v>
      </c>
      <c r="S35" s="243">
        <f>$Q35-$O35</f>
        <v>10330</v>
      </c>
    </row>
    <row r="36" spans="1:19" ht="12.75">
      <c r="A36" s="109" t="s">
        <v>40</v>
      </c>
      <c r="B36" s="110">
        <v>2</v>
      </c>
      <c r="C36" s="45">
        <f t="shared" si="12"/>
        <v>4100</v>
      </c>
      <c r="D36" s="45">
        <f t="shared" si="13"/>
        <v>205</v>
      </c>
      <c r="E36" s="249">
        <f>4200+2000</f>
        <v>6200</v>
      </c>
      <c r="F36" s="91"/>
      <c r="G36" s="266">
        <f t="shared" si="14"/>
        <v>6200</v>
      </c>
      <c r="H36" s="266">
        <f t="shared" si="15"/>
        <v>3100</v>
      </c>
      <c r="I36" s="266">
        <f t="shared" si="16"/>
        <v>8.61111111111111</v>
      </c>
      <c r="M36" s="41">
        <v>350</v>
      </c>
      <c r="N36" s="88">
        <f>$M36*30/100</f>
        <v>105</v>
      </c>
      <c r="O36" s="87">
        <f t="shared" si="18"/>
        <v>3320</v>
      </c>
      <c r="P36" s="46"/>
      <c r="Q36" s="280"/>
      <c r="R36" s="81" t="s">
        <v>289</v>
      </c>
      <c r="S36" s="243">
        <f>$Q36-$O36</f>
        <v>-3320</v>
      </c>
    </row>
    <row r="37" spans="1:19" ht="12.75">
      <c r="A37" s="107" t="s">
        <v>8</v>
      </c>
      <c r="B37" s="76">
        <v>2</v>
      </c>
      <c r="C37" s="45">
        <f t="shared" si="12"/>
        <v>4100</v>
      </c>
      <c r="D37" s="45">
        <f t="shared" si="13"/>
        <v>205</v>
      </c>
      <c r="E37" s="249">
        <v>8200</v>
      </c>
      <c r="F37" s="91"/>
      <c r="G37" s="266">
        <f t="shared" si="14"/>
        <v>8200</v>
      </c>
      <c r="H37" s="266">
        <f t="shared" si="15"/>
        <v>4100</v>
      </c>
      <c r="I37" s="266">
        <f t="shared" si="16"/>
        <v>11.38888888888889</v>
      </c>
      <c r="J37" s="81" t="s">
        <v>450</v>
      </c>
      <c r="K37" s="81" t="s">
        <v>453</v>
      </c>
      <c r="L37" s="273">
        <f>$G37-4305*$B37</f>
        <v>-410</v>
      </c>
      <c r="M37" s="41">
        <v>350</v>
      </c>
      <c r="N37" s="88">
        <f t="shared" si="17"/>
        <v>35</v>
      </c>
      <c r="O37" s="87">
        <f t="shared" si="18"/>
        <v>1180</v>
      </c>
      <c r="P37" s="46"/>
      <c r="Q37" s="81">
        <v>1200</v>
      </c>
      <c r="R37" s="81" t="s">
        <v>24</v>
      </c>
      <c r="S37" s="271">
        <f t="shared" si="19"/>
        <v>20</v>
      </c>
    </row>
    <row r="38" spans="1:19" ht="12.75">
      <c r="A38" s="107" t="s">
        <v>10</v>
      </c>
      <c r="B38" s="76">
        <v>1</v>
      </c>
      <c r="C38" s="45">
        <f t="shared" si="12"/>
        <v>4100</v>
      </c>
      <c r="D38" s="45">
        <f t="shared" si="13"/>
        <v>205</v>
      </c>
      <c r="E38" s="249">
        <v>4100</v>
      </c>
      <c r="F38" s="264">
        <v>700</v>
      </c>
      <c r="G38" s="266">
        <f t="shared" si="14"/>
        <v>4800</v>
      </c>
      <c r="H38" s="271">
        <f t="shared" si="15"/>
        <v>4800</v>
      </c>
      <c r="I38" s="266">
        <f t="shared" si="16"/>
        <v>11.38888888888889</v>
      </c>
      <c r="J38" s="81" t="s">
        <v>450</v>
      </c>
      <c r="K38" s="81" t="s">
        <v>453</v>
      </c>
      <c r="L38" s="273">
        <f>$G38-4305*$B38</f>
        <v>495</v>
      </c>
      <c r="M38" s="41">
        <v>350</v>
      </c>
      <c r="N38" s="88">
        <f t="shared" si="17"/>
        <v>35</v>
      </c>
      <c r="O38" s="87">
        <f t="shared" si="18"/>
        <v>-110</v>
      </c>
      <c r="P38" s="46"/>
      <c r="Q38" s="270">
        <v>700</v>
      </c>
      <c r="R38" s="81" t="s">
        <v>24</v>
      </c>
      <c r="S38" s="271">
        <f t="shared" si="19"/>
        <v>810</v>
      </c>
    </row>
    <row r="39" spans="1:19" ht="12.75">
      <c r="A39" s="107" t="s">
        <v>98</v>
      </c>
      <c r="B39" s="76">
        <v>1</v>
      </c>
      <c r="C39" s="45">
        <f t="shared" si="12"/>
        <v>4100</v>
      </c>
      <c r="D39" s="45">
        <f t="shared" si="13"/>
        <v>205</v>
      </c>
      <c r="E39" s="249">
        <v>4100</v>
      </c>
      <c r="F39" s="264">
        <v>700</v>
      </c>
      <c r="G39" s="266">
        <f t="shared" si="14"/>
        <v>4800</v>
      </c>
      <c r="H39" s="271">
        <f t="shared" si="15"/>
        <v>4800</v>
      </c>
      <c r="I39" s="266">
        <f t="shared" si="16"/>
        <v>11.38888888888889</v>
      </c>
      <c r="J39" s="81" t="s">
        <v>450</v>
      </c>
      <c r="K39" s="81" t="s">
        <v>453</v>
      </c>
      <c r="L39" s="273">
        <f>$G39-4305*$B39</f>
        <v>495</v>
      </c>
      <c r="M39" s="41">
        <v>350</v>
      </c>
      <c r="N39" s="88">
        <f t="shared" si="17"/>
        <v>35</v>
      </c>
      <c r="O39" s="87">
        <f t="shared" si="18"/>
        <v>-110</v>
      </c>
      <c r="P39" s="46"/>
      <c r="Q39" s="270">
        <v>700</v>
      </c>
      <c r="R39" s="81" t="s">
        <v>24</v>
      </c>
      <c r="S39" s="271">
        <f t="shared" si="19"/>
        <v>810</v>
      </c>
    </row>
    <row r="40" spans="1:19" ht="12.75">
      <c r="A40" s="107" t="s">
        <v>99</v>
      </c>
      <c r="B40" s="76">
        <v>1</v>
      </c>
      <c r="C40" s="45">
        <f t="shared" si="12"/>
        <v>4100</v>
      </c>
      <c r="D40" s="45">
        <f t="shared" si="13"/>
        <v>205</v>
      </c>
      <c r="E40" s="249">
        <v>4100</v>
      </c>
      <c r="F40" s="264">
        <v>800</v>
      </c>
      <c r="G40" s="266">
        <f t="shared" si="14"/>
        <v>4900</v>
      </c>
      <c r="H40" s="271">
        <f t="shared" si="15"/>
        <v>4900</v>
      </c>
      <c r="I40" s="266">
        <f t="shared" si="16"/>
        <v>11.38888888888889</v>
      </c>
      <c r="J40" s="81" t="s">
        <v>450</v>
      </c>
      <c r="K40" s="81" t="s">
        <v>453</v>
      </c>
      <c r="L40" s="273">
        <f>$G40-4305*$B40</f>
        <v>595</v>
      </c>
      <c r="M40" s="41">
        <v>350</v>
      </c>
      <c r="N40" s="88">
        <f t="shared" si="17"/>
        <v>35</v>
      </c>
      <c r="O40" s="87">
        <f t="shared" si="18"/>
        <v>-210</v>
      </c>
      <c r="P40" s="46"/>
      <c r="Q40" s="270">
        <v>800</v>
      </c>
      <c r="R40" s="81" t="s">
        <v>465</v>
      </c>
      <c r="S40" s="271">
        <f t="shared" si="19"/>
        <v>1010</v>
      </c>
    </row>
    <row r="41" spans="1:19" ht="12.75">
      <c r="A41" s="107" t="s">
        <v>100</v>
      </c>
      <c r="B41" s="76">
        <v>0.15</v>
      </c>
      <c r="C41" s="45">
        <f t="shared" si="12"/>
        <v>4100</v>
      </c>
      <c r="D41" s="45">
        <f t="shared" si="13"/>
        <v>205</v>
      </c>
      <c r="E41" s="257">
        <v>200</v>
      </c>
      <c r="F41" s="91"/>
      <c r="G41" s="266">
        <f t="shared" si="14"/>
        <v>200</v>
      </c>
      <c r="H41" s="266">
        <f t="shared" si="15"/>
        <v>1333.3333333333335</v>
      </c>
      <c r="I41" s="266">
        <f t="shared" si="16"/>
        <v>3.703703703703704</v>
      </c>
      <c r="M41" s="41">
        <v>350</v>
      </c>
      <c r="N41" s="88">
        <f t="shared" si="17"/>
        <v>35</v>
      </c>
      <c r="O41" s="87">
        <f t="shared" si="18"/>
        <v>503.5</v>
      </c>
      <c r="P41" s="46"/>
      <c r="Q41" s="280"/>
      <c r="R41" s="81" t="s">
        <v>475</v>
      </c>
      <c r="S41" s="243"/>
    </row>
    <row r="42" spans="1:19" ht="12.75">
      <c r="A42" s="107" t="s">
        <v>102</v>
      </c>
      <c r="B42" s="76">
        <v>0.1</v>
      </c>
      <c r="C42" s="45">
        <f t="shared" si="12"/>
        <v>4100</v>
      </c>
      <c r="D42" s="45">
        <f t="shared" si="13"/>
        <v>205</v>
      </c>
      <c r="E42" s="249">
        <v>892</v>
      </c>
      <c r="F42" s="91"/>
      <c r="G42" s="266">
        <f t="shared" si="14"/>
        <v>892</v>
      </c>
      <c r="H42" s="266">
        <f t="shared" si="15"/>
        <v>8920</v>
      </c>
      <c r="I42" s="266">
        <f t="shared" si="16"/>
        <v>24.77777777777778</v>
      </c>
      <c r="M42" s="41">
        <v>350</v>
      </c>
      <c r="N42" s="88">
        <f t="shared" si="17"/>
        <v>35</v>
      </c>
      <c r="O42" s="87">
        <f t="shared" si="18"/>
        <v>-423</v>
      </c>
      <c r="P42" s="46"/>
      <c r="Q42" s="280"/>
      <c r="R42" s="81" t="s">
        <v>475</v>
      </c>
      <c r="S42" s="243"/>
    </row>
    <row r="43" spans="1:19" ht="12.75">
      <c r="A43" s="107" t="s">
        <v>13</v>
      </c>
      <c r="B43" s="76">
        <v>1</v>
      </c>
      <c r="C43" s="45">
        <f t="shared" si="12"/>
        <v>4100</v>
      </c>
      <c r="D43" s="45">
        <f t="shared" si="13"/>
        <v>205</v>
      </c>
      <c r="E43" s="249">
        <v>4100</v>
      </c>
      <c r="F43" s="91"/>
      <c r="G43" s="266">
        <f t="shared" si="14"/>
        <v>4100</v>
      </c>
      <c r="H43" s="266">
        <f t="shared" si="15"/>
        <v>4100</v>
      </c>
      <c r="I43" s="266">
        <f t="shared" si="16"/>
        <v>11.38888888888889</v>
      </c>
      <c r="J43" s="81" t="s">
        <v>450</v>
      </c>
      <c r="K43" s="81" t="s">
        <v>453</v>
      </c>
      <c r="L43" s="273">
        <f>$G43-4305*$B43</f>
        <v>-205</v>
      </c>
      <c r="M43" s="41">
        <v>350</v>
      </c>
      <c r="N43" s="88">
        <f t="shared" si="17"/>
        <v>35</v>
      </c>
      <c r="O43" s="87">
        <f t="shared" si="18"/>
        <v>590</v>
      </c>
      <c r="P43" s="46"/>
      <c r="Q43" s="81">
        <v>600</v>
      </c>
      <c r="R43" s="81" t="s">
        <v>465</v>
      </c>
      <c r="S43" s="271">
        <f t="shared" si="19"/>
        <v>10</v>
      </c>
    </row>
    <row r="44" spans="1:19" ht="12.75">
      <c r="A44" s="107" t="s">
        <v>14</v>
      </c>
      <c r="B44" s="76">
        <v>1</v>
      </c>
      <c r="C44" s="45">
        <f t="shared" si="12"/>
        <v>4100</v>
      </c>
      <c r="D44" s="45">
        <f t="shared" si="13"/>
        <v>205</v>
      </c>
      <c r="E44" s="249">
        <v>4100</v>
      </c>
      <c r="F44" s="91"/>
      <c r="G44" s="266">
        <f t="shared" si="14"/>
        <v>4100</v>
      </c>
      <c r="H44" s="266">
        <f t="shared" si="15"/>
        <v>4100</v>
      </c>
      <c r="I44" s="266">
        <f t="shared" si="16"/>
        <v>11.38888888888889</v>
      </c>
      <c r="J44" s="81" t="s">
        <v>450</v>
      </c>
      <c r="K44" s="81" t="s">
        <v>453</v>
      </c>
      <c r="L44" s="273">
        <f>$G44-4305*$B44</f>
        <v>-205</v>
      </c>
      <c r="M44" s="41">
        <v>350</v>
      </c>
      <c r="N44" s="88">
        <f t="shared" si="17"/>
        <v>35</v>
      </c>
      <c r="O44" s="87">
        <f t="shared" si="18"/>
        <v>590</v>
      </c>
      <c r="P44" s="46"/>
      <c r="Q44" s="81">
        <v>600</v>
      </c>
      <c r="R44" s="81" t="s">
        <v>465</v>
      </c>
      <c r="S44" s="271">
        <f t="shared" si="19"/>
        <v>10</v>
      </c>
    </row>
    <row r="45" ht="12.75">
      <c r="D45" s="263" t="s">
        <v>442</v>
      </c>
    </row>
    <row r="46" spans="1:21" ht="76.5">
      <c r="A46" s="33" t="s">
        <v>0</v>
      </c>
      <c r="B46" s="35" t="s">
        <v>39</v>
      </c>
      <c r="C46" s="35" t="s">
        <v>44</v>
      </c>
      <c r="D46" s="35" t="s">
        <v>43</v>
      </c>
      <c r="E46" s="165" t="s">
        <v>441</v>
      </c>
      <c r="F46" s="229" t="s">
        <v>456</v>
      </c>
      <c r="G46" s="265" t="s">
        <v>446</v>
      </c>
      <c r="H46" s="265" t="s">
        <v>448</v>
      </c>
      <c r="I46" s="265" t="s">
        <v>457</v>
      </c>
      <c r="J46" s="265" t="s">
        <v>449</v>
      </c>
      <c r="K46" s="265" t="s">
        <v>451</v>
      </c>
      <c r="L46" s="265" t="s">
        <v>460</v>
      </c>
      <c r="M46" s="35" t="s">
        <v>45</v>
      </c>
      <c r="N46" s="35" t="s">
        <v>42</v>
      </c>
      <c r="O46" s="37" t="s">
        <v>461</v>
      </c>
      <c r="P46" s="37" t="s">
        <v>474</v>
      </c>
      <c r="Q46" s="276" t="s">
        <v>466</v>
      </c>
      <c r="R46" s="276" t="s">
        <v>462</v>
      </c>
      <c r="S46" s="276" t="s">
        <v>470</v>
      </c>
      <c r="T46" s="41" t="s">
        <v>230</v>
      </c>
      <c r="U46" s="41" t="s">
        <v>464</v>
      </c>
    </row>
    <row r="47" spans="1:13" ht="12.75">
      <c r="A47" s="175" t="s">
        <v>467</v>
      </c>
      <c r="B47" s="28"/>
      <c r="C47" s="28"/>
      <c r="M47" s="149"/>
    </row>
    <row r="48" spans="1:16" ht="12.75">
      <c r="A48" s="101" t="s">
        <v>18</v>
      </c>
      <c r="B48" s="65"/>
      <c r="C48" s="65"/>
      <c r="M48" s="84"/>
      <c r="O48" s="200"/>
      <c r="P48" s="200"/>
    </row>
    <row r="49" spans="1:19" ht="12.75">
      <c r="A49" s="74" t="s">
        <v>82</v>
      </c>
      <c r="B49" s="44">
        <v>1</v>
      </c>
      <c r="C49" s="207">
        <v>3620</v>
      </c>
      <c r="D49" s="45">
        <f>$C49*5/100</f>
        <v>181</v>
      </c>
      <c r="E49" s="247">
        <f>2000+1494</f>
        <v>3494</v>
      </c>
      <c r="G49" s="266">
        <f aca="true" t="shared" si="20" ref="G49:G58">SUM($E49,$F49)</f>
        <v>3494</v>
      </c>
      <c r="H49" s="266">
        <f aca="true" t="shared" si="21" ref="H49:H56">SUM($E49,$F49)/$B49</f>
        <v>3494</v>
      </c>
      <c r="I49" s="266">
        <f>(401+$E49/$B49)/360</f>
        <v>10.819444444444445</v>
      </c>
      <c r="J49" s="81" t="s">
        <v>450</v>
      </c>
      <c r="K49" s="81" t="s">
        <v>453</v>
      </c>
      <c r="L49" s="273">
        <f>$G49-3805*$B49</f>
        <v>-311</v>
      </c>
      <c r="M49" s="86"/>
      <c r="O49" s="87">
        <f aca="true" t="shared" si="22" ref="O49:O57">B49*(C49+D49+M49+N49)-G49</f>
        <v>307</v>
      </c>
      <c r="P49" s="46"/>
      <c r="Q49" s="81">
        <v>500</v>
      </c>
      <c r="R49" s="81" t="s">
        <v>91</v>
      </c>
      <c r="S49" s="271">
        <f aca="true" t="shared" si="23" ref="S49:S56">$Q49-$O49</f>
        <v>193</v>
      </c>
    </row>
    <row r="50" spans="1:19" ht="12.75">
      <c r="A50" s="74" t="s">
        <v>3</v>
      </c>
      <c r="B50" s="60">
        <v>2</v>
      </c>
      <c r="C50" s="45">
        <f>4100-500</f>
        <v>3600</v>
      </c>
      <c r="D50" s="45">
        <f>$C50*5/100</f>
        <v>180</v>
      </c>
      <c r="E50" s="247">
        <f>4000+2011</f>
        <v>6011</v>
      </c>
      <c r="G50" s="266">
        <f t="shared" si="20"/>
        <v>6011</v>
      </c>
      <c r="H50" s="266">
        <f t="shared" si="21"/>
        <v>3005.5</v>
      </c>
      <c r="I50" s="266">
        <f>(401+$E50/$B50)/360</f>
        <v>9.4625</v>
      </c>
      <c r="J50" s="81" t="s">
        <v>443</v>
      </c>
      <c r="K50" s="81" t="s">
        <v>452</v>
      </c>
      <c r="L50" s="273">
        <f>$G50-3805*$B50</f>
        <v>-1599</v>
      </c>
      <c r="M50" s="86">
        <f>$M$4</f>
        <v>350</v>
      </c>
      <c r="N50" s="88">
        <f>$M50*10/100</f>
        <v>35</v>
      </c>
      <c r="O50" s="87">
        <f t="shared" si="22"/>
        <v>2319</v>
      </c>
      <c r="P50" s="46">
        <v>14</v>
      </c>
      <c r="Q50" s="81">
        <v>2240</v>
      </c>
      <c r="R50" s="81" t="s">
        <v>91</v>
      </c>
      <c r="S50" s="267">
        <f t="shared" si="23"/>
        <v>-79</v>
      </c>
    </row>
    <row r="51" spans="1:19" ht="12.75">
      <c r="A51" s="99" t="s">
        <v>340</v>
      </c>
      <c r="B51" s="84">
        <v>1</v>
      </c>
      <c r="C51" s="203"/>
      <c r="G51" s="267">
        <f t="shared" si="20"/>
        <v>0</v>
      </c>
      <c r="H51" s="267">
        <f t="shared" si="21"/>
        <v>0</v>
      </c>
      <c r="M51" s="86">
        <f>$M$4</f>
        <v>350</v>
      </c>
      <c r="N51" s="88">
        <f>$M51*10/100</f>
        <v>35</v>
      </c>
      <c r="O51" s="87">
        <f t="shared" si="22"/>
        <v>385</v>
      </c>
      <c r="P51" s="87"/>
      <c r="Q51" s="82"/>
      <c r="S51" s="267">
        <f t="shared" si="23"/>
        <v>-385</v>
      </c>
    </row>
    <row r="52" spans="1:19" ht="12.75">
      <c r="A52" s="74" t="s">
        <v>90</v>
      </c>
      <c r="B52" s="44">
        <v>1</v>
      </c>
      <c r="C52" s="45">
        <f>4100-500</f>
        <v>3600</v>
      </c>
      <c r="D52" s="45">
        <f>$C52*5/100</f>
        <v>180</v>
      </c>
      <c r="E52" s="247">
        <f>2010+1300</f>
        <v>3310</v>
      </c>
      <c r="G52" s="266">
        <f t="shared" si="20"/>
        <v>3310</v>
      </c>
      <c r="H52" s="266">
        <f t="shared" si="21"/>
        <v>3310</v>
      </c>
      <c r="I52" s="266">
        <f>(401+$E52/$B52)/360</f>
        <v>10.308333333333334</v>
      </c>
      <c r="J52" s="81" t="s">
        <v>443</v>
      </c>
      <c r="K52" s="81" t="s">
        <v>452</v>
      </c>
      <c r="L52" s="273">
        <f>$G52-3805*$B52</f>
        <v>-495</v>
      </c>
      <c r="M52" s="86">
        <f>$M$4</f>
        <v>350</v>
      </c>
      <c r="N52" s="88">
        <f>$M52*10/100</f>
        <v>35</v>
      </c>
      <c r="O52" s="87">
        <f t="shared" si="22"/>
        <v>855</v>
      </c>
      <c r="P52" s="46">
        <v>476</v>
      </c>
      <c r="Q52" s="81" t="s">
        <v>473</v>
      </c>
      <c r="R52" s="81" t="s">
        <v>91</v>
      </c>
      <c r="S52" s="267"/>
    </row>
    <row r="53" spans="1:19" ht="12.75">
      <c r="A53" s="74" t="s">
        <v>153</v>
      </c>
      <c r="B53" s="44">
        <v>2</v>
      </c>
      <c r="C53" s="45">
        <f>4100-500</f>
        <v>3600</v>
      </c>
      <c r="D53" s="45">
        <f>$C53*5/100</f>
        <v>180</v>
      </c>
      <c r="E53" s="247">
        <f>4000+1940</f>
        <v>5940</v>
      </c>
      <c r="G53" s="266">
        <f t="shared" si="20"/>
        <v>5940</v>
      </c>
      <c r="H53" s="266">
        <f t="shared" si="21"/>
        <v>2970</v>
      </c>
      <c r="I53" s="266">
        <f>(401+$E53/$B53)/360</f>
        <v>9.363888888888889</v>
      </c>
      <c r="J53" s="81" t="s">
        <v>443</v>
      </c>
      <c r="K53" s="81" t="s">
        <v>452</v>
      </c>
      <c r="L53" s="273">
        <f>$G53-3805*$B53</f>
        <v>-1670</v>
      </c>
      <c r="M53" s="86"/>
      <c r="O53" s="87">
        <f t="shared" si="22"/>
        <v>1620</v>
      </c>
      <c r="P53" s="46"/>
      <c r="Q53" s="81">
        <v>1900</v>
      </c>
      <c r="R53" s="81" t="s">
        <v>91</v>
      </c>
      <c r="S53" s="271">
        <f t="shared" si="23"/>
        <v>280</v>
      </c>
    </row>
    <row r="54" spans="1:19" ht="12.75">
      <c r="A54" s="99" t="s">
        <v>152</v>
      </c>
      <c r="B54" s="84">
        <v>2</v>
      </c>
      <c r="C54" s="215">
        <v>0</v>
      </c>
      <c r="G54" s="267">
        <f t="shared" si="20"/>
        <v>0</v>
      </c>
      <c r="H54" s="267">
        <f t="shared" si="21"/>
        <v>0</v>
      </c>
      <c r="M54" s="86">
        <f>$M$4</f>
        <v>350</v>
      </c>
      <c r="N54" s="88">
        <f>$M54*10/100</f>
        <v>35</v>
      </c>
      <c r="O54" s="87">
        <f t="shared" si="22"/>
        <v>770</v>
      </c>
      <c r="P54" s="87"/>
      <c r="Q54" s="82"/>
      <c r="S54" s="267"/>
    </row>
    <row r="55" spans="1:20" ht="12.75">
      <c r="A55" s="74" t="s">
        <v>81</v>
      </c>
      <c r="B55" s="44">
        <v>2</v>
      </c>
      <c r="C55" s="45">
        <f>4100-500</f>
        <v>3600</v>
      </c>
      <c r="D55" s="45">
        <f>$C55*5/100</f>
        <v>180</v>
      </c>
      <c r="E55" s="247">
        <f>3915+1715</f>
        <v>5630</v>
      </c>
      <c r="F55" s="268">
        <v>2189</v>
      </c>
      <c r="G55" s="266">
        <f t="shared" si="20"/>
        <v>7819</v>
      </c>
      <c r="H55" s="271">
        <f t="shared" si="21"/>
        <v>3909.5</v>
      </c>
      <c r="I55" s="81"/>
      <c r="J55" s="81"/>
      <c r="K55" s="270"/>
      <c r="M55" s="86"/>
      <c r="O55" s="87"/>
      <c r="P55" s="46"/>
      <c r="Q55" s="81">
        <v>2300</v>
      </c>
      <c r="R55" s="81" t="s">
        <v>91</v>
      </c>
      <c r="S55" s="271">
        <f t="shared" si="23"/>
        <v>2300</v>
      </c>
      <c r="T55" s="175" t="s">
        <v>468</v>
      </c>
    </row>
    <row r="56" spans="1:19" ht="12.75">
      <c r="A56" s="109" t="s">
        <v>337</v>
      </c>
      <c r="B56" s="110">
        <v>3</v>
      </c>
      <c r="C56" s="45">
        <f>4100-500</f>
        <v>3600</v>
      </c>
      <c r="D56" s="45">
        <f>$C56*5/100</f>
        <v>180</v>
      </c>
      <c r="E56" s="247">
        <f>5070+3080</f>
        <v>8150</v>
      </c>
      <c r="F56" s="268">
        <v>1910</v>
      </c>
      <c r="G56" s="266">
        <f t="shared" si="20"/>
        <v>10060</v>
      </c>
      <c r="H56" s="266">
        <f t="shared" si="21"/>
        <v>3353.3333333333335</v>
      </c>
      <c r="I56" s="266">
        <f>(401+$E56/$B56)/360</f>
        <v>8.660185185185185</v>
      </c>
      <c r="J56" s="81" t="s">
        <v>453</v>
      </c>
      <c r="K56" s="280" t="s">
        <v>458</v>
      </c>
      <c r="L56" s="273">
        <f>$G56-3805*$B56</f>
        <v>-1355</v>
      </c>
      <c r="M56" s="86">
        <f>$M$4</f>
        <v>350</v>
      </c>
      <c r="N56" s="88">
        <f>$M56*10/100</f>
        <v>35</v>
      </c>
      <c r="O56" s="87">
        <f t="shared" si="22"/>
        <v>2435</v>
      </c>
      <c r="P56" s="46"/>
      <c r="Q56" s="81">
        <v>5500</v>
      </c>
      <c r="R56" s="81" t="s">
        <v>91</v>
      </c>
      <c r="S56" s="271">
        <f t="shared" si="23"/>
        <v>3065</v>
      </c>
    </row>
    <row r="57" spans="1:17" ht="12.75">
      <c r="A57" s="210" t="s">
        <v>339</v>
      </c>
      <c r="B57" s="211">
        <v>4</v>
      </c>
      <c r="C57" s="203">
        <v>0</v>
      </c>
      <c r="M57" s="86">
        <f>$M$4</f>
        <v>350</v>
      </c>
      <c r="N57" s="88">
        <f>$M57*10/100</f>
        <v>35</v>
      </c>
      <c r="O57" s="87">
        <f t="shared" si="22"/>
        <v>1540</v>
      </c>
      <c r="P57" s="87"/>
      <c r="Q57" s="82"/>
    </row>
    <row r="58" spans="1:20" ht="12.75">
      <c r="A58" s="106" t="s">
        <v>114</v>
      </c>
      <c r="B58" s="44">
        <v>1</v>
      </c>
      <c r="C58" s="45">
        <v>500</v>
      </c>
      <c r="D58" s="45"/>
      <c r="E58" s="303">
        <f>281+99</f>
        <v>380</v>
      </c>
      <c r="F58" s="264">
        <v>28</v>
      </c>
      <c r="G58" s="266">
        <f t="shared" si="20"/>
        <v>408</v>
      </c>
      <c r="H58" s="81"/>
      <c r="I58" s="81"/>
      <c r="J58" s="81"/>
      <c r="K58" s="81"/>
      <c r="L58" s="273">
        <f>$G58-500*$B58</f>
        <v>-92</v>
      </c>
      <c r="O58" s="180"/>
      <c r="P58" s="107"/>
      <c r="Q58" s="81"/>
      <c r="R58" s="81"/>
      <c r="T58" s="175" t="s">
        <v>476</v>
      </c>
    </row>
  </sheetData>
  <printOptions/>
  <pageMargins left="0.75" right="0.75" top="1" bottom="1" header="0.5" footer="0.5"/>
  <pageSetup fitToHeight="1" fitToWidth="1" horizontalDpi="600" verticalDpi="600" orientation="landscape" paperSize="8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D37">
      <selection activeCell="M53" sqref="M53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1" spans="5:7" ht="12.75">
      <c r="E1" s="4" t="s">
        <v>127</v>
      </c>
      <c r="F1" s="4" t="s">
        <v>135</v>
      </c>
      <c r="G1" s="4" t="s">
        <v>136</v>
      </c>
    </row>
    <row r="2" spans="1:8" ht="12.75">
      <c r="A2" s="181" t="s">
        <v>297</v>
      </c>
      <c r="C2" t="s">
        <v>421</v>
      </c>
      <c r="E2" s="261">
        <v>698300</v>
      </c>
      <c r="F2" s="261">
        <v>930</v>
      </c>
      <c r="G2" s="261">
        <v>22800</v>
      </c>
      <c r="H2" s="8"/>
    </row>
    <row r="3" spans="3:8" ht="12.75">
      <c r="C3" t="s">
        <v>422</v>
      </c>
      <c r="E3" s="4">
        <f>E4-E2</f>
        <v>103700</v>
      </c>
      <c r="F3" s="4"/>
      <c r="G3" s="4">
        <v>3400</v>
      </c>
      <c r="H3" t="s">
        <v>427</v>
      </c>
    </row>
    <row r="4" spans="3:7" ht="12.75">
      <c r="C4" t="s">
        <v>423</v>
      </c>
      <c r="E4" s="4">
        <v>802000</v>
      </c>
      <c r="F4" s="4"/>
      <c r="G4" s="4">
        <f>G2+G3</f>
        <v>26200</v>
      </c>
    </row>
    <row r="5" spans="3:10" ht="12.75">
      <c r="C5" t="s">
        <v>424</v>
      </c>
      <c r="E5" s="5">
        <f>'BLM chambers '!I13+50*183</f>
        <v>800430</v>
      </c>
      <c r="F5" s="4"/>
      <c r="G5" s="5">
        <f>'BLM chambers '!I16+50*6</f>
        <v>26130</v>
      </c>
      <c r="J5" s="191">
        <f>50*183</f>
        <v>9150</v>
      </c>
    </row>
    <row r="6" spans="5:7" ht="12.75">
      <c r="E6" s="4"/>
      <c r="F6" s="4"/>
      <c r="G6" s="4"/>
    </row>
    <row r="7" spans="3:7" ht="12.75">
      <c r="C7" t="s">
        <v>425</v>
      </c>
      <c r="E7" s="4">
        <f>E59</f>
        <v>714513</v>
      </c>
      <c r="F7" s="4">
        <v>948</v>
      </c>
      <c r="G7" s="4">
        <f>E79</f>
        <v>27226</v>
      </c>
    </row>
    <row r="8" spans="5:7" ht="12.75">
      <c r="E8" s="4"/>
      <c r="F8" s="4"/>
      <c r="G8" s="4"/>
    </row>
    <row r="9" spans="3:7" ht="12.75">
      <c r="C9" t="s">
        <v>426</v>
      </c>
      <c r="E9" s="4">
        <f>E4-E7</f>
        <v>87487</v>
      </c>
      <c r="F9" s="4"/>
      <c r="G9" s="4">
        <f>G4-G7</f>
        <v>-1026</v>
      </c>
    </row>
    <row r="12" spans="3:9" ht="12.75">
      <c r="C12" s="43" t="s">
        <v>129</v>
      </c>
      <c r="D12" s="97" t="s">
        <v>130</v>
      </c>
      <c r="E12" s="41" t="s">
        <v>131</v>
      </c>
      <c r="F12" s="41" t="s">
        <v>134</v>
      </c>
      <c r="G12" s="41" t="s">
        <v>132</v>
      </c>
      <c r="H12" s="41" t="s">
        <v>133</v>
      </c>
      <c r="I12" s="184" t="s">
        <v>283</v>
      </c>
    </row>
    <row r="13" spans="2:8" ht="12.75">
      <c r="B13" t="s">
        <v>220</v>
      </c>
      <c r="C13" s="175" t="s">
        <v>127</v>
      </c>
      <c r="D13" s="175"/>
      <c r="E13" s="175"/>
      <c r="F13" s="175"/>
      <c r="G13" s="175"/>
      <c r="H13" s="175"/>
    </row>
    <row r="14" spans="2:8" ht="12.75">
      <c r="B14">
        <f>SUM(E16:E20,E67,E74:E75)</f>
        <v>47444</v>
      </c>
      <c r="C14" s="41"/>
      <c r="D14" s="41" t="s">
        <v>139</v>
      </c>
      <c r="E14" s="41">
        <v>9300</v>
      </c>
      <c r="F14" s="41"/>
      <c r="G14" s="41">
        <v>9170</v>
      </c>
      <c r="H14" s="41"/>
    </row>
    <row r="15" spans="2:8" ht="12.75">
      <c r="B15" t="s">
        <v>221</v>
      </c>
      <c r="C15" s="41"/>
      <c r="D15" s="41"/>
      <c r="E15" s="41">
        <v>0</v>
      </c>
      <c r="F15" s="41"/>
      <c r="G15" s="41">
        <v>103</v>
      </c>
      <c r="H15" s="41"/>
    </row>
    <row r="16" spans="2:9" ht="12.75">
      <c r="B16">
        <f>SUM(E21:E26)</f>
        <v>52230</v>
      </c>
      <c r="C16" s="41"/>
      <c r="D16" s="41" t="s">
        <v>137</v>
      </c>
      <c r="E16" s="41">
        <v>14600</v>
      </c>
      <c r="F16" s="41" t="s">
        <v>91</v>
      </c>
      <c r="G16" s="82">
        <f>2340+6000+114+7370</f>
        <v>15824</v>
      </c>
      <c r="H16" s="41" t="s">
        <v>106</v>
      </c>
      <c r="I16">
        <v>1</v>
      </c>
    </row>
    <row r="17" spans="1:9" ht="12.75">
      <c r="A17" t="s">
        <v>283</v>
      </c>
      <c r="C17" s="41"/>
      <c r="D17" s="41"/>
      <c r="E17" s="41">
        <v>0</v>
      </c>
      <c r="F17" s="41"/>
      <c r="G17" s="82"/>
      <c r="H17" s="41"/>
      <c r="I17">
        <v>2</v>
      </c>
    </row>
    <row r="18" spans="3:9" ht="12.75">
      <c r="C18" s="41"/>
      <c r="D18" s="41"/>
      <c r="E18" s="41">
        <v>0</v>
      </c>
      <c r="F18" s="41"/>
      <c r="G18" s="82"/>
      <c r="H18" s="41"/>
      <c r="I18">
        <v>3</v>
      </c>
    </row>
    <row r="19" spans="3:9" ht="12.75">
      <c r="C19" s="41" t="s">
        <v>143</v>
      </c>
      <c r="D19" s="41" t="s">
        <v>128</v>
      </c>
      <c r="E19" s="41">
        <v>10000</v>
      </c>
      <c r="F19" s="41" t="s">
        <v>91</v>
      </c>
      <c r="G19" s="82">
        <v>10000</v>
      </c>
      <c r="H19" s="41" t="s">
        <v>106</v>
      </c>
      <c r="I19">
        <v>4</v>
      </c>
    </row>
    <row r="20" spans="3:9" ht="12.75">
      <c r="C20" s="41"/>
      <c r="D20" s="41" t="s">
        <v>140</v>
      </c>
      <c r="E20" s="41">
        <v>10740</v>
      </c>
      <c r="F20" s="41" t="s">
        <v>91</v>
      </c>
      <c r="G20" s="82"/>
      <c r="H20" s="41"/>
      <c r="I20">
        <v>5</v>
      </c>
    </row>
    <row r="21" spans="3:11" ht="12.75">
      <c r="C21" s="41" t="s">
        <v>141</v>
      </c>
      <c r="D21" s="41" t="s">
        <v>142</v>
      </c>
      <c r="E21" s="41">
        <v>11170</v>
      </c>
      <c r="F21" s="41" t="s">
        <v>91</v>
      </c>
      <c r="G21" s="82"/>
      <c r="H21" s="41"/>
      <c r="I21">
        <v>5</v>
      </c>
      <c r="K21" t="s">
        <v>157</v>
      </c>
    </row>
    <row r="22" spans="3:9" ht="12.75">
      <c r="C22" s="41"/>
      <c r="D22" s="41"/>
      <c r="E22" s="41">
        <v>0</v>
      </c>
      <c r="F22" s="41"/>
      <c r="G22" s="82"/>
      <c r="H22" s="41"/>
      <c r="I22">
        <v>6</v>
      </c>
    </row>
    <row r="23" spans="3:11" ht="12.75">
      <c r="C23" s="41" t="s">
        <v>156</v>
      </c>
      <c r="D23" s="41" t="s">
        <v>155</v>
      </c>
      <c r="E23" s="41">
        <v>12730</v>
      </c>
      <c r="F23" s="41" t="s">
        <v>91</v>
      </c>
      <c r="G23" s="82"/>
      <c r="H23" s="41"/>
      <c r="I23">
        <v>7</v>
      </c>
      <c r="K23" t="s">
        <v>158</v>
      </c>
    </row>
    <row r="24" spans="3:9" ht="12.75">
      <c r="C24" s="41"/>
      <c r="D24" s="41"/>
      <c r="E24" s="41">
        <v>0</v>
      </c>
      <c r="F24" s="41"/>
      <c r="G24" s="82"/>
      <c r="H24" s="41"/>
      <c r="I24">
        <v>8</v>
      </c>
    </row>
    <row r="25" spans="3:9" ht="12.75">
      <c r="C25" s="41" t="s">
        <v>159</v>
      </c>
      <c r="D25" s="41" t="s">
        <v>161</v>
      </c>
      <c r="E25" s="41">
        <v>15100</v>
      </c>
      <c r="F25" s="41" t="s">
        <v>91</v>
      </c>
      <c r="G25" s="82"/>
      <c r="H25" s="41"/>
      <c r="I25">
        <v>9</v>
      </c>
    </row>
    <row r="26" spans="2:12" ht="12.75">
      <c r="B26" t="s">
        <v>250</v>
      </c>
      <c r="C26" s="41" t="s">
        <v>160</v>
      </c>
      <c r="D26" s="41" t="s">
        <v>222</v>
      </c>
      <c r="E26" s="41">
        <v>13230</v>
      </c>
      <c r="F26" s="41" t="s">
        <v>91</v>
      </c>
      <c r="G26" s="82"/>
      <c r="H26" s="41"/>
      <c r="I26">
        <v>9</v>
      </c>
      <c r="L26" s="107">
        <f>SUM(E14:E40)-2220</f>
        <v>355355</v>
      </c>
    </row>
    <row r="27" spans="3:12" ht="12.75">
      <c r="C27" s="41" t="s">
        <v>223</v>
      </c>
      <c r="D27" s="41" t="s">
        <v>224</v>
      </c>
      <c r="E27" s="41">
        <v>15330</v>
      </c>
      <c r="F27" s="41" t="s">
        <v>91</v>
      </c>
      <c r="G27" s="82"/>
      <c r="H27" s="41"/>
      <c r="I27">
        <v>10</v>
      </c>
      <c r="L27" s="107">
        <f>SUM(E41:E44)</f>
        <v>49910</v>
      </c>
    </row>
    <row r="28" spans="3:12" ht="12.75">
      <c r="C28" s="41" t="s">
        <v>246</v>
      </c>
      <c r="D28" s="41" t="s">
        <v>247</v>
      </c>
      <c r="E28" s="41">
        <v>18380</v>
      </c>
      <c r="F28" s="41" t="s">
        <v>91</v>
      </c>
      <c r="G28" s="82"/>
      <c r="H28" s="41"/>
      <c r="I28">
        <v>11</v>
      </c>
      <c r="L28" s="107">
        <f>SUM(L26:L27)</f>
        <v>405265</v>
      </c>
    </row>
    <row r="29" spans="3:9" ht="12.75">
      <c r="C29" s="41" t="s">
        <v>248</v>
      </c>
      <c r="D29" s="41" t="s">
        <v>258</v>
      </c>
      <c r="E29" s="41">
        <v>25000</v>
      </c>
      <c r="F29" s="41" t="s">
        <v>24</v>
      </c>
      <c r="G29" s="82"/>
      <c r="H29" s="41"/>
      <c r="I29">
        <v>12</v>
      </c>
    </row>
    <row r="30" spans="3:9" ht="12.75">
      <c r="C30" s="41" t="s">
        <v>257</v>
      </c>
      <c r="D30" s="41" t="s">
        <v>249</v>
      </c>
      <c r="E30" s="41">
        <v>25000</v>
      </c>
      <c r="F30" s="41" t="s">
        <v>24</v>
      </c>
      <c r="G30" s="82"/>
      <c r="H30" s="41"/>
      <c r="I30">
        <v>13</v>
      </c>
    </row>
    <row r="31" spans="2:9" ht="12.75">
      <c r="B31" t="s">
        <v>270</v>
      </c>
      <c r="C31" s="41" t="s">
        <v>259</v>
      </c>
      <c r="D31" s="41" t="s">
        <v>265</v>
      </c>
      <c r="E31" s="41">
        <v>25000</v>
      </c>
      <c r="F31" s="41" t="s">
        <v>24</v>
      </c>
      <c r="G31" s="82"/>
      <c r="H31" s="41"/>
      <c r="I31">
        <v>14</v>
      </c>
    </row>
    <row r="32" spans="3:9" ht="12.75">
      <c r="C32" s="41"/>
      <c r="D32" s="41"/>
      <c r="E32" s="41">
        <v>0</v>
      </c>
      <c r="F32" s="41"/>
      <c r="G32" s="82"/>
      <c r="H32" s="41"/>
      <c r="I32">
        <v>15</v>
      </c>
    </row>
    <row r="33" spans="3:9" ht="12.75">
      <c r="C33" s="41" t="s">
        <v>260</v>
      </c>
      <c r="D33" s="41" t="s">
        <v>266</v>
      </c>
      <c r="E33" s="41">
        <v>23075</v>
      </c>
      <c r="F33" s="41" t="s">
        <v>24</v>
      </c>
      <c r="G33" s="82"/>
      <c r="H33" s="41"/>
      <c r="I33">
        <v>16</v>
      </c>
    </row>
    <row r="34" spans="3:9" ht="12.75">
      <c r="C34" s="41" t="s">
        <v>263</v>
      </c>
      <c r="D34" s="41" t="s">
        <v>264</v>
      </c>
      <c r="E34" s="41">
        <v>21760</v>
      </c>
      <c r="F34" s="41" t="s">
        <v>24</v>
      </c>
      <c r="G34" s="82"/>
      <c r="H34" s="41"/>
      <c r="I34">
        <v>17</v>
      </c>
    </row>
    <row r="35" spans="2:9" ht="12.75">
      <c r="B35" t="s">
        <v>271</v>
      </c>
      <c r="C35" s="41" t="s">
        <v>268</v>
      </c>
      <c r="D35" s="41" t="s">
        <v>269</v>
      </c>
      <c r="E35" s="41">
        <v>25000</v>
      </c>
      <c r="F35" s="41" t="s">
        <v>24</v>
      </c>
      <c r="G35" s="82"/>
      <c r="H35" s="41"/>
      <c r="I35">
        <v>18</v>
      </c>
    </row>
    <row r="36" spans="3:9" ht="12.75">
      <c r="C36" s="41" t="s">
        <v>273</v>
      </c>
      <c r="D36" s="41" t="s">
        <v>274</v>
      </c>
      <c r="E36" s="41">
        <v>25000</v>
      </c>
      <c r="F36" s="41" t="s">
        <v>24</v>
      </c>
      <c r="G36" s="82"/>
      <c r="H36" s="41" t="s">
        <v>278</v>
      </c>
      <c r="I36">
        <v>19</v>
      </c>
    </row>
    <row r="37" spans="3:9" ht="12.75">
      <c r="C37" s="178" t="s">
        <v>275</v>
      </c>
      <c r="D37" s="41" t="s">
        <v>276</v>
      </c>
      <c r="E37" s="178">
        <v>25000</v>
      </c>
      <c r="F37" s="41" t="s">
        <v>24</v>
      </c>
      <c r="G37" s="178" t="s">
        <v>282</v>
      </c>
      <c r="H37" s="41" t="s">
        <v>277</v>
      </c>
      <c r="I37">
        <v>20</v>
      </c>
    </row>
    <row r="38" spans="3:9" ht="12.75">
      <c r="C38" s="178"/>
      <c r="D38" s="41"/>
      <c r="E38" s="178">
        <v>0</v>
      </c>
      <c r="F38" s="41"/>
      <c r="G38" s="178"/>
      <c r="H38" s="41"/>
      <c r="I38">
        <v>21</v>
      </c>
    </row>
    <row r="39" spans="3:9" ht="12.75">
      <c r="C39" s="178" t="s">
        <v>279</v>
      </c>
      <c r="D39" s="41" t="s">
        <v>280</v>
      </c>
      <c r="E39" s="178">
        <v>20160</v>
      </c>
      <c r="F39" s="41" t="s">
        <v>24</v>
      </c>
      <c r="G39" s="178" t="s">
        <v>282</v>
      </c>
      <c r="H39" s="41" t="s">
        <v>281</v>
      </c>
      <c r="I39">
        <v>22</v>
      </c>
    </row>
    <row r="40" spans="3:9" ht="12.75">
      <c r="C40" s="178" t="s">
        <v>325</v>
      </c>
      <c r="D40" s="41" t="s">
        <v>280</v>
      </c>
      <c r="E40" s="178">
        <v>12000</v>
      </c>
      <c r="F40" s="41" t="s">
        <v>24</v>
      </c>
      <c r="G40" s="178" t="s">
        <v>282</v>
      </c>
      <c r="H40" s="41" t="s">
        <v>281</v>
      </c>
      <c r="I40" s="15">
        <v>22</v>
      </c>
    </row>
    <row r="41" spans="2:9" ht="12.75">
      <c r="B41" t="s">
        <v>392</v>
      </c>
      <c r="C41" s="82" t="s">
        <v>326</v>
      </c>
      <c r="D41" s="41" t="s">
        <v>327</v>
      </c>
      <c r="E41" s="183">
        <v>15250</v>
      </c>
      <c r="F41" s="41" t="s">
        <v>24</v>
      </c>
      <c r="G41" s="200" t="s">
        <v>316</v>
      </c>
      <c r="H41" s="41" t="s">
        <v>328</v>
      </c>
      <c r="I41">
        <v>23</v>
      </c>
    </row>
    <row r="42" spans="3:9" ht="12.75">
      <c r="C42" s="82" t="s">
        <v>329</v>
      </c>
      <c r="D42" s="41" t="s">
        <v>327</v>
      </c>
      <c r="E42" s="183">
        <v>9660</v>
      </c>
      <c r="F42" s="41" t="s">
        <v>24</v>
      </c>
      <c r="G42" s="200" t="s">
        <v>316</v>
      </c>
      <c r="H42" s="41" t="s">
        <v>328</v>
      </c>
      <c r="I42">
        <v>23</v>
      </c>
    </row>
    <row r="43" spans="1:9" ht="12.75">
      <c r="A43">
        <v>24</v>
      </c>
      <c r="C43" s="82" t="s">
        <v>347</v>
      </c>
      <c r="D43" s="41" t="s">
        <v>348</v>
      </c>
      <c r="E43" s="183">
        <v>12400</v>
      </c>
      <c r="F43" s="41" t="s">
        <v>24</v>
      </c>
      <c r="G43" s="200" t="s">
        <v>316</v>
      </c>
      <c r="H43" s="41" t="s">
        <v>349</v>
      </c>
      <c r="I43">
        <v>24</v>
      </c>
    </row>
    <row r="44" spans="1:12" ht="12.75">
      <c r="A44">
        <v>24</v>
      </c>
      <c r="C44" s="82" t="s">
        <v>350</v>
      </c>
      <c r="D44" s="41" t="s">
        <v>348</v>
      </c>
      <c r="E44" s="183">
        <v>12600</v>
      </c>
      <c r="F44" s="41" t="s">
        <v>24</v>
      </c>
      <c r="G44" s="200" t="s">
        <v>316</v>
      </c>
      <c r="H44" s="41" t="s">
        <v>349</v>
      </c>
      <c r="I44">
        <v>24</v>
      </c>
      <c r="L44" s="222" t="s">
        <v>351</v>
      </c>
    </row>
    <row r="45" spans="1:12" ht="12.75">
      <c r="A45">
        <v>25</v>
      </c>
      <c r="C45" s="82" t="s">
        <v>385</v>
      </c>
      <c r="D45" s="41" t="s">
        <v>386</v>
      </c>
      <c r="E45" s="183">
        <v>13500</v>
      </c>
      <c r="F45" s="41" t="s">
        <v>24</v>
      </c>
      <c r="G45" s="200" t="s">
        <v>316</v>
      </c>
      <c r="H45" s="41" t="s">
        <v>387</v>
      </c>
      <c r="I45">
        <v>25</v>
      </c>
      <c r="L45" s="222"/>
    </row>
    <row r="46" spans="1:12" ht="12.75">
      <c r="A46">
        <v>25</v>
      </c>
      <c r="C46" s="82" t="s">
        <v>388</v>
      </c>
      <c r="D46" s="41" t="s">
        <v>386</v>
      </c>
      <c r="E46" s="183">
        <v>12000</v>
      </c>
      <c r="F46" s="41" t="s">
        <v>24</v>
      </c>
      <c r="G46" s="200" t="s">
        <v>316</v>
      </c>
      <c r="H46" s="41" t="s">
        <v>387</v>
      </c>
      <c r="I46">
        <v>25</v>
      </c>
      <c r="L46" s="222"/>
    </row>
    <row r="47" spans="1:12" ht="12.75">
      <c r="A47">
        <v>25</v>
      </c>
      <c r="C47" s="82" t="s">
        <v>389</v>
      </c>
      <c r="D47" s="41" t="s">
        <v>390</v>
      </c>
      <c r="E47" s="183">
        <v>10000</v>
      </c>
      <c r="F47" s="41" t="s">
        <v>24</v>
      </c>
      <c r="G47" s="200" t="s">
        <v>316</v>
      </c>
      <c r="H47" s="41" t="s">
        <v>391</v>
      </c>
      <c r="I47">
        <v>26</v>
      </c>
      <c r="L47" s="222"/>
    </row>
    <row r="48" spans="1:12" ht="12.75">
      <c r="A48">
        <v>26</v>
      </c>
      <c r="C48" s="82" t="s">
        <v>403</v>
      </c>
      <c r="D48" s="41" t="s">
        <v>405</v>
      </c>
      <c r="E48" s="82">
        <f>13580+16127</f>
        <v>29707</v>
      </c>
      <c r="F48" s="41" t="s">
        <v>91</v>
      </c>
      <c r="G48" s="200" t="s">
        <v>316</v>
      </c>
      <c r="H48" s="41" t="s">
        <v>404</v>
      </c>
      <c r="I48">
        <v>27</v>
      </c>
      <c r="L48" s="222"/>
    </row>
    <row r="49" spans="1:12" ht="12.75">
      <c r="A49">
        <v>28</v>
      </c>
      <c r="B49" t="s">
        <v>409</v>
      </c>
      <c r="C49" s="82" t="s">
        <v>414</v>
      </c>
      <c r="D49" s="41" t="s">
        <v>407</v>
      </c>
      <c r="E49" s="82">
        <f>6030+24820</f>
        <v>30850</v>
      </c>
      <c r="F49" s="41" t="s">
        <v>91</v>
      </c>
      <c r="G49" s="200" t="s">
        <v>316</v>
      </c>
      <c r="H49" s="41" t="s">
        <v>408</v>
      </c>
      <c r="I49">
        <v>28</v>
      </c>
      <c r="L49" s="222"/>
    </row>
    <row r="50" spans="1:12" ht="12.75">
      <c r="A50">
        <v>29</v>
      </c>
      <c r="C50" s="82" t="s">
        <v>411</v>
      </c>
      <c r="D50" s="41" t="s">
        <v>412</v>
      </c>
      <c r="E50" s="82">
        <v>19160</v>
      </c>
      <c r="F50" s="41" t="s">
        <v>91</v>
      </c>
      <c r="G50" s="200"/>
      <c r="H50" s="41" t="s">
        <v>413</v>
      </c>
      <c r="I50">
        <v>29</v>
      </c>
      <c r="L50" s="222"/>
    </row>
    <row r="51" spans="1:12" ht="12.75">
      <c r="A51">
        <v>30</v>
      </c>
      <c r="C51" s="82" t="s">
        <v>417</v>
      </c>
      <c r="D51" s="41" t="s">
        <v>418</v>
      </c>
      <c r="E51" s="82">
        <v>25470</v>
      </c>
      <c r="F51" s="41" t="s">
        <v>91</v>
      </c>
      <c r="G51" s="200"/>
      <c r="H51" s="41" t="s">
        <v>419</v>
      </c>
      <c r="I51">
        <v>30</v>
      </c>
      <c r="L51" s="222"/>
    </row>
    <row r="52" spans="3:12" ht="12.75">
      <c r="C52" s="82" t="s">
        <v>428</v>
      </c>
      <c r="D52" s="41" t="s">
        <v>429</v>
      </c>
      <c r="E52" s="82">
        <v>20000</v>
      </c>
      <c r="F52" s="41" t="s">
        <v>434</v>
      </c>
      <c r="G52" s="200"/>
      <c r="H52" s="41" t="s">
        <v>430</v>
      </c>
      <c r="I52">
        <v>32</v>
      </c>
      <c r="L52" s="222"/>
    </row>
    <row r="53" spans="3:12" ht="12.75">
      <c r="C53" s="82" t="s">
        <v>431</v>
      </c>
      <c r="D53" s="41" t="s">
        <v>432</v>
      </c>
      <c r="E53" s="82">
        <v>27450</v>
      </c>
      <c r="F53" s="41" t="s">
        <v>434</v>
      </c>
      <c r="G53" s="200"/>
      <c r="H53" s="41" t="s">
        <v>433</v>
      </c>
      <c r="I53">
        <v>33</v>
      </c>
      <c r="L53" s="222"/>
    </row>
    <row r="54" spans="3:12" ht="12.75">
      <c r="C54" s="82" t="s">
        <v>435</v>
      </c>
      <c r="D54" s="41" t="s">
        <v>437</v>
      </c>
      <c r="E54" s="82">
        <v>20360</v>
      </c>
      <c r="F54" s="41" t="s">
        <v>91</v>
      </c>
      <c r="G54" s="200"/>
      <c r="H54" s="41" t="s">
        <v>436</v>
      </c>
      <c r="I54">
        <v>34</v>
      </c>
      <c r="L54" s="222"/>
    </row>
    <row r="55" spans="3:12" ht="12.75">
      <c r="C55" s="82" t="s">
        <v>438</v>
      </c>
      <c r="D55" s="41" t="s">
        <v>440</v>
      </c>
      <c r="E55" s="82">
        <f>8237+14916</f>
        <v>23153</v>
      </c>
      <c r="F55" s="41" t="s">
        <v>434</v>
      </c>
      <c r="G55" s="200"/>
      <c r="H55" s="41" t="s">
        <v>439</v>
      </c>
      <c r="L55" s="222"/>
    </row>
    <row r="56" spans="3:12" ht="12.75">
      <c r="C56" s="82" t="s">
        <v>477</v>
      </c>
      <c r="D56" s="41" t="s">
        <v>439</v>
      </c>
      <c r="E56" s="82">
        <f>5488+14000</f>
        <v>19488</v>
      </c>
      <c r="F56" s="41" t="s">
        <v>434</v>
      </c>
      <c r="G56" s="200"/>
      <c r="H56" s="41" t="s">
        <v>478</v>
      </c>
      <c r="L56" s="222"/>
    </row>
    <row r="57" spans="1:12" ht="12.75">
      <c r="A57" t="s">
        <v>486</v>
      </c>
      <c r="C57" s="82" t="s">
        <v>479</v>
      </c>
      <c r="D57" s="41" t="s">
        <v>480</v>
      </c>
      <c r="E57" s="82">
        <f>11000+19400</f>
        <v>30400</v>
      </c>
      <c r="F57" s="41" t="s">
        <v>434</v>
      </c>
      <c r="G57" s="200"/>
      <c r="H57" s="41" t="s">
        <v>481</v>
      </c>
      <c r="L57" s="222"/>
    </row>
    <row r="58" spans="1:12" ht="12.75">
      <c r="A58" t="s">
        <v>485</v>
      </c>
      <c r="C58" s="82" t="s">
        <v>482</v>
      </c>
      <c r="D58" s="41" t="s">
        <v>484</v>
      </c>
      <c r="E58" s="82">
        <f>10000+15490</f>
        <v>25490</v>
      </c>
      <c r="F58" s="41" t="s">
        <v>91</v>
      </c>
      <c r="G58" s="200"/>
      <c r="H58" s="41" t="s">
        <v>483</v>
      </c>
      <c r="L58" s="222"/>
    </row>
    <row r="59" spans="3:12" ht="12.75">
      <c r="C59" s="107" t="s">
        <v>267</v>
      </c>
      <c r="D59" s="107"/>
      <c r="E59" s="107">
        <f>SUM(E14:E58)</f>
        <v>714513</v>
      </c>
      <c r="F59" s="41" t="s">
        <v>24</v>
      </c>
      <c r="G59" s="82"/>
      <c r="H59" s="41">
        <v>26.06</v>
      </c>
      <c r="I59">
        <v>26</v>
      </c>
      <c r="J59" s="206">
        <f>E59/183</f>
        <v>3904.44262295082</v>
      </c>
      <c r="L59" s="222">
        <f>SUM(E37:E44)</f>
        <v>107070</v>
      </c>
    </row>
    <row r="60" spans="3:8" ht="12.75">
      <c r="C60" s="180"/>
      <c r="D60" s="180"/>
      <c r="E60" s="180"/>
      <c r="F60" s="41"/>
      <c r="G60" s="82"/>
      <c r="H60" s="41"/>
    </row>
    <row r="61" spans="3:12" s="15" customFormat="1" ht="12.75">
      <c r="C61" s="180"/>
      <c r="D61" s="180"/>
      <c r="E61" s="180"/>
      <c r="F61" s="82"/>
      <c r="G61" s="82"/>
      <c r="H61" s="82"/>
      <c r="L61" s="200" t="s">
        <v>316</v>
      </c>
    </row>
    <row r="62" spans="3:12" ht="12.75">
      <c r="C62" s="174" t="s">
        <v>288</v>
      </c>
      <c r="D62" s="174"/>
      <c r="E62" s="180">
        <v>347244</v>
      </c>
      <c r="F62" s="41" t="s">
        <v>24</v>
      </c>
      <c r="G62" s="178" t="s">
        <v>287</v>
      </c>
      <c r="H62" s="41"/>
      <c r="J62" s="191">
        <f>E62/183</f>
        <v>1897.5081967213114</v>
      </c>
      <c r="L62" s="183">
        <v>15250</v>
      </c>
    </row>
    <row r="63" spans="3:12" ht="12.75">
      <c r="C63" s="174" t="s">
        <v>288</v>
      </c>
      <c r="D63" s="174" t="s">
        <v>274</v>
      </c>
      <c r="E63" s="174">
        <v>169859</v>
      </c>
      <c r="F63" s="41" t="s">
        <v>289</v>
      </c>
      <c r="G63" s="82"/>
      <c r="H63" s="82"/>
      <c r="J63" s="191">
        <f>E63/183</f>
        <v>928.1912568306011</v>
      </c>
      <c r="L63" s="183">
        <v>9660</v>
      </c>
    </row>
    <row r="64" spans="3:12" ht="12.75">
      <c r="C64" s="174" t="s">
        <v>288</v>
      </c>
      <c r="D64" s="174"/>
      <c r="E64" s="201">
        <f>346854+9660+15250+12400+12600+13500+12000+10000</f>
        <v>432264</v>
      </c>
      <c r="F64" s="41" t="s">
        <v>289</v>
      </c>
      <c r="G64" s="178" t="s">
        <v>317</v>
      </c>
      <c r="H64" s="82"/>
      <c r="J64" s="192">
        <f>E64/183</f>
        <v>2362.098360655738</v>
      </c>
      <c r="L64" s="183">
        <v>12400</v>
      </c>
    </row>
    <row r="65" spans="3:12" s="15" customFormat="1" ht="12.75">
      <c r="C65" s="180"/>
      <c r="D65" s="180"/>
      <c r="E65" s="180"/>
      <c r="F65" s="82"/>
      <c r="G65" s="82"/>
      <c r="H65" s="82"/>
      <c r="L65" s="183">
        <v>12600</v>
      </c>
    </row>
    <row r="66" spans="3:12" ht="12.75">
      <c r="C66" s="175" t="s">
        <v>135</v>
      </c>
      <c r="D66" s="175"/>
      <c r="E66" s="175"/>
      <c r="F66" s="175"/>
      <c r="G66" s="175"/>
      <c r="H66" s="175"/>
      <c r="L66" s="183">
        <v>13500</v>
      </c>
    </row>
    <row r="67" spans="3:12" ht="12.75">
      <c r="C67" s="41"/>
      <c r="D67" s="41" t="s">
        <v>137</v>
      </c>
      <c r="E67" s="41">
        <v>948</v>
      </c>
      <c r="F67" s="41" t="s">
        <v>91</v>
      </c>
      <c r="G67" s="82">
        <v>941</v>
      </c>
      <c r="H67" s="41" t="s">
        <v>106</v>
      </c>
      <c r="L67" s="183">
        <v>12000</v>
      </c>
    </row>
    <row r="68" spans="3:8" ht="12.75">
      <c r="C68" s="41"/>
      <c r="D68" s="41"/>
      <c r="E68" s="41"/>
      <c r="F68" s="41"/>
      <c r="G68" s="41"/>
      <c r="H68" s="41"/>
    </row>
    <row r="69" spans="3:8" ht="12.75">
      <c r="C69" s="175" t="s">
        <v>136</v>
      </c>
      <c r="D69" s="175"/>
      <c r="E69" s="175"/>
      <c r="F69" s="175"/>
      <c r="G69" s="175"/>
      <c r="H69" s="175"/>
    </row>
    <row r="70" spans="3:8" ht="12.75">
      <c r="C70" s="41"/>
      <c r="D70" s="41" t="s">
        <v>139</v>
      </c>
      <c r="E70" s="41">
        <v>300</v>
      </c>
      <c r="F70" s="41"/>
      <c r="G70" s="41">
        <v>305</v>
      </c>
      <c r="H70" s="41"/>
    </row>
    <row r="71" spans="3:8" ht="12.75">
      <c r="C71" s="41"/>
      <c r="D71" s="41"/>
      <c r="E71" s="41"/>
      <c r="F71" s="41"/>
      <c r="G71" s="41">
        <v>93</v>
      </c>
      <c r="H71" s="41"/>
    </row>
    <row r="72" spans="3:8" ht="12.75">
      <c r="C72" s="41"/>
      <c r="D72" s="41"/>
      <c r="E72" s="41"/>
      <c r="F72" s="41"/>
      <c r="G72" s="41"/>
      <c r="H72" s="41"/>
    </row>
    <row r="73" spans="3:8" ht="12.75">
      <c r="C73" s="41"/>
      <c r="D73" s="41"/>
      <c r="E73" s="41"/>
      <c r="F73" s="41"/>
      <c r="G73" s="41"/>
      <c r="H73" s="41"/>
    </row>
    <row r="74" spans="3:13" ht="12.75">
      <c r="C74" s="41"/>
      <c r="D74" s="41" t="s">
        <v>138</v>
      </c>
      <c r="E74" s="41">
        <v>606</v>
      </c>
      <c r="F74" s="41" t="s">
        <v>91</v>
      </c>
      <c r="G74" s="82"/>
      <c r="H74" s="41"/>
      <c r="M74">
        <v>26200</v>
      </c>
    </row>
    <row r="75" spans="3:13" ht="12.75">
      <c r="C75" s="41" t="s">
        <v>143</v>
      </c>
      <c r="D75" s="41" t="s">
        <v>128</v>
      </c>
      <c r="E75" s="41">
        <v>10550</v>
      </c>
      <c r="F75" s="41" t="s">
        <v>91</v>
      </c>
      <c r="G75" s="82"/>
      <c r="H75" s="41"/>
      <c r="M75">
        <v>-11150</v>
      </c>
    </row>
    <row r="76" spans="1:13" ht="12.75">
      <c r="A76">
        <v>28</v>
      </c>
      <c r="B76" t="s">
        <v>409</v>
      </c>
      <c r="C76" s="82" t="s">
        <v>406</v>
      </c>
      <c r="D76" s="41" t="s">
        <v>407</v>
      </c>
      <c r="E76" s="82">
        <v>4980</v>
      </c>
      <c r="F76" s="41" t="s">
        <v>91</v>
      </c>
      <c r="G76" s="200" t="s">
        <v>316</v>
      </c>
      <c r="H76" s="41" t="s">
        <v>408</v>
      </c>
      <c r="M76" s="82">
        <v>-4980</v>
      </c>
    </row>
    <row r="77" spans="3:13" ht="12.75">
      <c r="C77" s="82" t="s">
        <v>411</v>
      </c>
      <c r="D77" s="41" t="s">
        <v>412</v>
      </c>
      <c r="E77" s="82">
        <v>8390</v>
      </c>
      <c r="F77" s="41" t="s">
        <v>91</v>
      </c>
      <c r="G77" s="200"/>
      <c r="H77" s="41" t="s">
        <v>413</v>
      </c>
      <c r="M77" s="82">
        <v>-8390</v>
      </c>
    </row>
    <row r="78" spans="3:13" ht="12.75">
      <c r="C78" s="82" t="s">
        <v>420</v>
      </c>
      <c r="D78" s="41" t="s">
        <v>418</v>
      </c>
      <c r="E78" s="82">
        <v>2400</v>
      </c>
      <c r="F78" s="41" t="s">
        <v>91</v>
      </c>
      <c r="G78" s="200"/>
      <c r="H78" s="41" t="s">
        <v>419</v>
      </c>
      <c r="M78" s="9"/>
    </row>
    <row r="79" spans="3:8" ht="12.75">
      <c r="C79" s="81" t="s">
        <v>410</v>
      </c>
      <c r="D79" s="81"/>
      <c r="E79" s="81">
        <f>SUM(E70:E78)</f>
        <v>27226</v>
      </c>
      <c r="F79" s="41"/>
      <c r="G79" s="41"/>
      <c r="H79" s="41"/>
    </row>
    <row r="80" spans="3:8" ht="12.75">
      <c r="C80" s="82"/>
      <c r="D80" s="82"/>
      <c r="E80" s="82"/>
      <c r="F80" s="41"/>
      <c r="G80" s="41"/>
      <c r="H80" s="41"/>
    </row>
    <row r="81" spans="3:10" ht="12.75">
      <c r="C81" s="174" t="s">
        <v>288</v>
      </c>
      <c r="D81" s="174"/>
      <c r="E81" s="174">
        <v>10625</v>
      </c>
      <c r="F81" s="41" t="s">
        <v>24</v>
      </c>
      <c r="G81" s="82"/>
      <c r="H81" s="41"/>
      <c r="J81" s="191">
        <f>E81/6</f>
        <v>1770.8333333333333</v>
      </c>
    </row>
    <row r="82" spans="3:10" ht="12.75">
      <c r="C82" s="174" t="s">
        <v>288</v>
      </c>
      <c r="D82" s="174"/>
      <c r="E82" s="174">
        <v>10604</v>
      </c>
      <c r="F82" s="41" t="s">
        <v>289</v>
      </c>
      <c r="G82" s="82"/>
      <c r="H82" s="41"/>
      <c r="J82" s="192">
        <f>E82/6</f>
        <v>1767.3333333333333</v>
      </c>
    </row>
    <row r="83" spans="3:8" ht="12.75">
      <c r="C83" s="41"/>
      <c r="D83" s="41"/>
      <c r="E83" s="41"/>
      <c r="F83" s="41"/>
      <c r="G83" s="41"/>
      <c r="H83" s="41"/>
    </row>
    <row r="84" spans="3:8" ht="12.75">
      <c r="C84" s="41"/>
      <c r="D84" s="41"/>
      <c r="E84" s="41"/>
      <c r="F84" s="41"/>
      <c r="G84" s="41"/>
      <c r="H84" s="41"/>
    </row>
    <row r="85" spans="3:8" ht="12.75">
      <c r="C85" s="41"/>
      <c r="D85" s="41"/>
      <c r="E85" s="41"/>
      <c r="F85" s="41"/>
      <c r="G85" s="41"/>
      <c r="H85" s="41"/>
    </row>
    <row r="86" spans="3:8" ht="12.75">
      <c r="C86" s="41"/>
      <c r="D86" s="41"/>
      <c r="E86" s="41"/>
      <c r="F86" s="41"/>
      <c r="G86" s="41"/>
      <c r="H86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2006-10-09T14:34:58Z</cp:lastPrinted>
  <dcterms:created xsi:type="dcterms:W3CDTF">2005-04-30T08:59:53Z</dcterms:created>
  <dcterms:modified xsi:type="dcterms:W3CDTF">2006-10-10T09:19:46Z</dcterms:modified>
  <cp:category/>
  <cp:version/>
  <cp:contentType/>
  <cp:contentStatus/>
</cp:coreProperties>
</file>