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65341" windowWidth="9750" windowHeight="9525" activeTab="5"/>
  </bookViews>
  <sheets>
    <sheet name="BLM chambers " sheetId="1" r:id="rId1"/>
    <sheet name="Tighteners" sheetId="2" r:id="rId2"/>
    <sheet name="Time to sending" sheetId="3" r:id="rId3"/>
    <sheet name="ceramics" sheetId="4" r:id="rId4"/>
    <sheet name="New order" sheetId="5" r:id="rId5"/>
    <sheet name="Spacers" sheetId="6" r:id="rId6"/>
  </sheets>
  <definedNames>
    <definedName name="_xlnm.Print_Area" localSheetId="4">'New order'!$A$1:$T$59</definedName>
    <definedName name="_xlnm.Print_Area" localSheetId="1">'Tighteners'!$A$1:$Q$46</definedName>
    <definedName name="Z_1E92D746_8DA4_46FE_A015_5B53E5097C4F_.wvu.PrintArea" localSheetId="4" hidden="1">'New order'!$A$1:$T$59</definedName>
    <definedName name="Z_1E92D746_8DA4_46FE_A015_5B53E5097C4F_.wvu.PrintArea" localSheetId="1" hidden="1">'Tighteners'!$A$1:$Q$46</definedName>
    <definedName name="Z_63DF7B8E_55FC_4540_9521_9B1B7D3BF258_.wvu.PrintArea" localSheetId="0" hidden="1">'BLM chambers '!$A$1:$AN$50</definedName>
    <definedName name="Z_63DF7B8E_55FC_4540_9521_9B1B7D3BF258_.wvu.PrintArea" localSheetId="4" hidden="1">'New order'!$A$1:$T$59</definedName>
    <definedName name="Z_63DF7B8E_55FC_4540_9521_9B1B7D3BF258_.wvu.PrintArea" localSheetId="1" hidden="1">'Tighteners'!$A$1:$P$27</definedName>
    <definedName name="Z_D1CD6718_E2E1_4B10_85C2_94715777E867_.wvu.PrintArea" localSheetId="1" hidden="1">'Tighteners'!$A$1:$AB$76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P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P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N1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N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P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P1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P2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S2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U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U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U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U3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A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U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4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X4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4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X4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X4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X5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W1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H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Y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K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K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H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AH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J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M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C61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J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J6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J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J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J6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O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AK1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must be at least 580 missing!
</t>
        </r>
      </text>
    </comment>
    <comment ref="AB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add 206 feed throughs which were sent back
</t>
        </r>
      </text>
    </comment>
  </commentList>
</comments>
</file>

<file path=xl/comments5.xml><?xml version="1.0" encoding="utf-8"?>
<comments xmlns="http://schemas.openxmlformats.org/spreadsheetml/2006/main">
  <authors>
    <author>grishinv</author>
    <author>eholzer</author>
  </authors>
  <commentList>
    <comment ref="A25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A2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A27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A33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A3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C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E55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also with Hole
</t>
        </r>
      </text>
    </comment>
    <comment ref="M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</commentList>
</comments>
</file>

<file path=xl/sharedStrings.xml><?xml version="1.0" encoding="utf-8"?>
<sst xmlns="http://schemas.openxmlformats.org/spreadsheetml/2006/main" count="1014" uniqueCount="490">
  <si>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</si>
  <si>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</si>
  <si>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</si>
  <si>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</si>
  <si>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</si>
  <si>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</si>
  <si>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</si>
  <si>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</si>
  <si>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</si>
  <si>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</si>
  <si>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</si>
  <si>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</si>
  <si>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</si>
  <si>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</si>
  <si>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</si>
  <si>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</si>
  <si>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</si>
  <si>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</si>
  <si>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</si>
  <si>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</si>
  <si>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</si>
  <si>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</si>
  <si>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</si>
  <si>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</si>
  <si>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</si>
  <si>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</si>
  <si>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</si>
  <si>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</si>
  <si>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</si>
  <si>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</si>
  <si>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</si>
  <si>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</si>
  <si>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</si>
  <si>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</si>
  <si>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</si>
  <si>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</si>
  <si>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</si>
  <si>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</si>
  <si>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</si>
  <si>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</si>
  <si>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</si>
  <si>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</si>
  <si>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</si>
  <si>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</si>
  <si>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</si>
  <si>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</si>
  <si>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</si>
  <si>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</si>
  <si>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</si>
  <si>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</si>
  <si>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</si>
  <si>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</si>
  <si>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</si>
  <si>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</si>
  <si>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</si>
  <si>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</si>
  <si>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</si>
  <si>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</si>
  <si>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</si>
  <si>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</si>
  <si>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</si>
  <si>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</si>
  <si>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</si>
  <si>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</si>
  <si>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</si>
  <si>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</si>
  <si>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</si>
  <si>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</si>
  <si>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</si>
  <si>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</si>
  <si>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</si>
  <si>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</si>
  <si>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</si>
  <si>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Ceramics LHCBLM__0041 upper CNGS</t>
  </si>
  <si>
    <t>Ceramics LHCBLM__0042 lower CNGS</t>
  </si>
  <si>
    <t>FRIATEC (F)</t>
  </si>
  <si>
    <t>JCM (F)</t>
  </si>
  <si>
    <t>type A Var 1 (incl. welded washer)</t>
  </si>
  <si>
    <t>type B Var 1 (incl. LHCBLM__0013)</t>
  </si>
  <si>
    <t>CA1390217</t>
  </si>
  <si>
    <t>Solpey (E)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</si>
  <si>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</si>
  <si>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</si>
  <si>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</si>
  <si>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</si>
  <si>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</si>
  <si>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</si>
  <si>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</si>
  <si>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</si>
  <si>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</si>
  <si>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</si>
  <si>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</si>
  <si>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</si>
  <si>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</si>
  <si>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</si>
  <si>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</si>
  <si>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</si>
  <si>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</si>
  <si>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</si>
  <si>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</si>
  <si>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</si>
  <si>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</si>
  <si>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</si>
  <si>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</si>
  <si>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</si>
  <si>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</si>
  <si>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</si>
  <si>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</si>
  <si>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</si>
  <si>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</si>
  <si>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</si>
  <si>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</si>
  <si>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</si>
  <si>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</si>
  <si>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</si>
  <si>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</si>
  <si>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</si>
  <si>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</si>
  <si>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</si>
  <si>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</si>
  <si>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</si>
  <si>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</si>
  <si>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</si>
  <si>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</si>
  <si>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</si>
  <si>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</si>
  <si>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</si>
  <si>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</si>
  <si>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</si>
  <si>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</si>
  <si>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</si>
  <si>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</si>
  <si>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</si>
  <si>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</si>
  <si>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</si>
  <si>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</si>
  <si>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</si>
  <si>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</si>
  <si>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</si>
  <si>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</si>
  <si>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</si>
  <si>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</si>
  <si>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</si>
  <si>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</si>
  <si>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</si>
  <si>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</si>
  <si>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</si>
  <si>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</si>
  <si>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</si>
  <si>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</si>
  <si>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</si>
  <si>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</si>
  <si>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</si>
  <si>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</si>
  <si>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</si>
  <si>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</si>
  <si>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</si>
  <si>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</si>
  <si>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</si>
  <si>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</si>
  <si>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</si>
  <si>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</si>
  <si>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</si>
  <si>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</si>
  <si>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</si>
  <si>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</si>
  <si>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</si>
  <si>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</si>
  <si>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</si>
  <si>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</si>
  <si>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</si>
  <si>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</si>
  <si>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</si>
  <si>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</si>
  <si>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</si>
  <si>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</si>
  <si>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</si>
  <si>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</si>
  <si>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</si>
  <si>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</si>
  <si>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</si>
  <si>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</si>
  <si>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</si>
  <si>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</si>
  <si>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</si>
  <si>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</si>
  <si>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</si>
  <si>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</si>
  <si>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</si>
  <si>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</si>
  <si>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</si>
  <si>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</si>
  <si>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</si>
  <si>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</si>
  <si>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</si>
  <si>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</si>
  <si>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</si>
  <si>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</si>
  <si>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</si>
  <si>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</si>
  <si>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</si>
  <si>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</si>
  <si>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</si>
  <si>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</si>
  <si>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</si>
  <si>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</si>
  <si>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</si>
  <si>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</si>
  <si>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</si>
  <si>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</si>
  <si>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</si>
  <si>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</si>
  <si>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</si>
  <si>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</si>
  <si>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</si>
  <si>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</si>
  <si>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</si>
  <si>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</si>
  <si>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</si>
  <si>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</si>
  <si>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</si>
  <si>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</si>
  <si>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</si>
  <si>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</si>
  <si>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</si>
  <si>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</si>
  <si>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</si>
  <si>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</si>
  <si>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</si>
  <si>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</si>
  <si>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</si>
  <si>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</si>
  <si>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</si>
  <si>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</si>
  <si>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</si>
  <si>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</si>
  <si>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</si>
  <si>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</si>
  <si>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</si>
  <si>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</si>
  <si>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</si>
  <si>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</si>
  <si>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156</t>
  </si>
  <si>
    <t>119</t>
  </si>
  <si>
    <t>0</t>
  </si>
  <si>
    <t>shipped to Protvino ALL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</si>
  <si>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</si>
  <si>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</si>
  <si>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</si>
  <si>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</si>
  <si>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</si>
  <si>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</si>
  <si>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</si>
  <si>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</si>
  <si>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</si>
  <si>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2503</t>
  </si>
  <si>
    <t>5537</t>
  </si>
  <si>
    <t>12th delivery</t>
  </si>
  <si>
    <t>24.03.2006</t>
  </si>
  <si>
    <t>13th delivery</t>
  </si>
  <si>
    <t xml:space="preserve">14th delivery 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</si>
  <si>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</si>
  <si>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</si>
  <si>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</si>
  <si>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</si>
  <si>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</si>
  <si>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</si>
  <si>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</si>
  <si>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</si>
  <si>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</si>
  <si>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</si>
  <si>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</si>
  <si>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</si>
  <si>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</si>
  <si>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</si>
  <si>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</si>
  <si>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</si>
  <si>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</si>
  <si>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</si>
  <si>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</si>
  <si>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</si>
  <si>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</si>
  <si>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</si>
  <si>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</si>
  <si>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</si>
  <si>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</si>
  <si>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</si>
  <si>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with Shipping8</t>
  </si>
  <si>
    <t>Protvino</t>
  </si>
  <si>
    <t>Mikhail</t>
  </si>
  <si>
    <t>Date of arrived</t>
  </si>
  <si>
    <t>Note on boxes</t>
  </si>
  <si>
    <t>Counted</t>
  </si>
  <si>
    <t>CERAMICS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</si>
  <si>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</si>
  <si>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</si>
  <si>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</si>
  <si>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</si>
  <si>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</si>
  <si>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</si>
  <si>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</si>
  <si>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Per IC</t>
  </si>
  <si>
    <t>4429</t>
  </si>
  <si>
    <t>3590</t>
  </si>
  <si>
    <t>4563</t>
  </si>
  <si>
    <t>169859</t>
  </si>
  <si>
    <t>10604</t>
  </si>
  <si>
    <t>85500</t>
  </si>
  <si>
    <t>3773</t>
  </si>
  <si>
    <t>4089</t>
  </si>
  <si>
    <t>4100</t>
  </si>
  <si>
    <t>2019</t>
  </si>
  <si>
    <t>2100</t>
  </si>
  <si>
    <t>8200</t>
  </si>
  <si>
    <t>3818</t>
  </si>
  <si>
    <t>19450</t>
  </si>
  <si>
    <t>Shipping9</t>
  </si>
  <si>
    <r>
      <t>with Sh7,Sh8,</t>
    </r>
    <r>
      <rPr>
        <sz val="10"/>
        <color indexed="10"/>
        <rFont val="Arial"/>
        <family val="2"/>
      </rPr>
      <t>Sh9</t>
    </r>
  </si>
  <si>
    <t>191</t>
  </si>
  <si>
    <t>2000</t>
  </si>
  <si>
    <t>4000</t>
  </si>
  <si>
    <t>2010</t>
  </si>
  <si>
    <t>5700</t>
  </si>
  <si>
    <t>In PROTVINO</t>
  </si>
  <si>
    <t>Summary (8.06)</t>
  </si>
  <si>
    <t>20th</t>
  </si>
  <si>
    <t>21th</t>
  </si>
  <si>
    <t>05.06.2006</t>
  </si>
  <si>
    <t>9.06 - arrived</t>
  </si>
  <si>
    <t>22th</t>
  </si>
  <si>
    <t>total needed quantity Pr (IC)</t>
  </si>
  <si>
    <t>order-needed to Pr (IC)</t>
  </si>
  <si>
    <t>received in Pr_IC (11.05):no Sh7,8,9</t>
  </si>
  <si>
    <t>Heads:       shipped to Italy/IC</t>
  </si>
  <si>
    <t>Heads:   Needed:Exist - 4305</t>
  </si>
  <si>
    <t>total needed quantity Pr (IC+SEM)</t>
  </si>
  <si>
    <r>
      <t xml:space="preserve">Ti electrodes production LHCBLM__0004 0.5X82, </t>
    </r>
    <r>
      <rPr>
        <b/>
        <sz val="10"/>
        <rFont val="Arial"/>
        <family val="2"/>
      </rPr>
      <t>SEM</t>
    </r>
  </si>
  <si>
    <r>
      <t xml:space="preserve">welded spacer LHCBLM__0035, 304L, </t>
    </r>
    <r>
      <rPr>
        <b/>
        <sz val="10"/>
        <rFont val="Arial"/>
        <family val="2"/>
      </rPr>
      <t>IC</t>
    </r>
  </si>
  <si>
    <t>TO ORDER</t>
  </si>
  <si>
    <r>
      <t xml:space="preserve">welded spacer LHCBLM__0035??, </t>
    </r>
    <r>
      <rPr>
        <b/>
        <sz val="10"/>
        <rFont val="Arial"/>
        <family val="2"/>
      </rPr>
      <t>316L, SEM - new design!!</t>
    </r>
  </si>
  <si>
    <r>
      <t>cover  plate LHCBLM__0003, 316L</t>
    </r>
    <r>
      <rPr>
        <b/>
        <sz val="10"/>
        <rFont val="Arial"/>
        <family val="2"/>
      </rPr>
      <t>, SEM new desingn</t>
    </r>
  </si>
  <si>
    <t>shrinking tube</t>
  </si>
  <si>
    <t>5 cm per IC</t>
  </si>
  <si>
    <t>minus count SEM tubes</t>
  </si>
  <si>
    <t>calculate</t>
  </si>
  <si>
    <t>14.6.2006</t>
  </si>
  <si>
    <t>Shipping 9</t>
  </si>
  <si>
    <t>23th</t>
  </si>
  <si>
    <t>12.06.2006</t>
  </si>
  <si>
    <t>14.06 - arrived</t>
  </si>
  <si>
    <t>24th</t>
  </si>
  <si>
    <t>sum for sheet "BLM chambers" in loading zone</t>
  </si>
  <si>
    <t>Comment</t>
  </si>
  <si>
    <t>shipped to Protvino plus LZ per IC, slavas num.</t>
  </si>
  <si>
    <t>Mishas counting plus LZ and LS</t>
  </si>
  <si>
    <t>Slavas still to buy</t>
  </si>
  <si>
    <t>shipped to Protvino per IC, slavas num.</t>
  </si>
  <si>
    <t>Heads:       shipped to UK/IC</t>
  </si>
  <si>
    <t>check SG</t>
  </si>
  <si>
    <t>fill SG</t>
  </si>
  <si>
    <r>
      <t>Exist in LZ For Shipp_</t>
    </r>
    <r>
      <rPr>
        <b/>
        <sz val="10"/>
        <color indexed="12"/>
        <rFont val="Arial"/>
        <family val="2"/>
      </rPr>
      <t>9</t>
    </r>
  </si>
  <si>
    <t>check Ion</t>
  </si>
  <si>
    <t>355355</t>
  </si>
  <si>
    <t>347</t>
  </si>
  <si>
    <t>200</t>
  </si>
  <si>
    <t>Malzaker</t>
  </si>
  <si>
    <t>Barbara</t>
  </si>
  <si>
    <t>by Slava</t>
  </si>
  <si>
    <t>Summary (20.06)</t>
  </si>
  <si>
    <t>Date of shipping</t>
  </si>
  <si>
    <t>Shipping</t>
  </si>
  <si>
    <t>Sh6</t>
  </si>
  <si>
    <t>Sh7</t>
  </si>
  <si>
    <t>Sh5</t>
  </si>
  <si>
    <t>Sh5&amp;6</t>
  </si>
  <si>
    <t>shipment 7</t>
  </si>
  <si>
    <t>shipment 8</t>
  </si>
  <si>
    <t>in LZ (seperately)</t>
  </si>
  <si>
    <t>Exist in LZ after LS</t>
  </si>
  <si>
    <t>to be shippied Protvino06 IC+SEM</t>
  </si>
  <si>
    <t>to be shippied Protvino06 IC</t>
  </si>
  <si>
    <t>check!</t>
  </si>
  <si>
    <t>???</t>
  </si>
  <si>
    <t>580!!</t>
  </si>
  <si>
    <t>order with JMM</t>
  </si>
  <si>
    <t>25th</t>
  </si>
  <si>
    <t>19.02.2006</t>
  </si>
  <si>
    <t>21.06 - arrived</t>
  </si>
  <si>
    <t>26th</t>
  </si>
  <si>
    <t>27th</t>
  </si>
  <si>
    <t>22.06.2006</t>
  </si>
  <si>
    <t>26.06 - arrived</t>
  </si>
  <si>
    <t>June:</t>
  </si>
  <si>
    <t>In Pr or available for Pr / IC</t>
  </si>
  <si>
    <t>order with DAI</t>
  </si>
  <si>
    <t>In Protvino(29.06)</t>
  </si>
  <si>
    <t>Pcs</t>
  </si>
  <si>
    <t>IC</t>
  </si>
  <si>
    <t>Mishas counting plus LZ  and LS</t>
  </si>
  <si>
    <t>30.6.2006</t>
  </si>
  <si>
    <t>tel convers with Mr.. Gagau</t>
  </si>
  <si>
    <t>they have received the new contract and will deliver before 21.7.</t>
  </si>
  <si>
    <t>from 21.7. holidays for 3 weeks</t>
  </si>
  <si>
    <t>28th</t>
  </si>
  <si>
    <t>03.07.2006 -arrived</t>
  </si>
  <si>
    <t>29.06.2006</t>
  </si>
  <si>
    <t>29th</t>
  </si>
  <si>
    <t>10.07.2006</t>
  </si>
  <si>
    <t>10.07.2006-arrived</t>
  </si>
  <si>
    <t>July:</t>
  </si>
  <si>
    <t xml:space="preserve">Summary </t>
  </si>
  <si>
    <t>31th</t>
  </si>
  <si>
    <t>17.07.2006</t>
  </si>
  <si>
    <t>17.07.2006-arrived</t>
  </si>
  <si>
    <t>29th (+30th)</t>
  </si>
  <si>
    <t>Mishas counting in Protvino (up to sh 8)</t>
  </si>
  <si>
    <t>Mishas counting in Protvino(upto sh8)</t>
  </si>
  <si>
    <t>32 th</t>
  </si>
  <si>
    <t>25.07.2006</t>
  </si>
  <si>
    <t>28.07.2006-arrived</t>
  </si>
  <si>
    <t>32th</t>
  </si>
  <si>
    <t>ordered first contract</t>
  </si>
  <si>
    <t>ordered second contrat</t>
  </si>
  <si>
    <t>total ordered</t>
  </si>
  <si>
    <t>total needed</t>
  </si>
  <si>
    <t>total delivered</t>
  </si>
  <si>
    <t>missing</t>
  </si>
  <si>
    <t>(or 3500 ?)</t>
  </si>
  <si>
    <t>33 th</t>
  </si>
  <si>
    <t>5.8.2006</t>
  </si>
  <si>
    <t>10.08.2006</t>
  </si>
  <si>
    <t>34 th</t>
  </si>
  <si>
    <t>14.8.2006</t>
  </si>
  <si>
    <t>15.8.2006</t>
  </si>
  <si>
    <t>Slava/EBH</t>
  </si>
  <si>
    <t>35 th</t>
  </si>
  <si>
    <t>22.8.2006</t>
  </si>
  <si>
    <t>21.8.2006</t>
  </si>
  <si>
    <t>36th</t>
  </si>
  <si>
    <t>04.09.2006</t>
  </si>
  <si>
    <t>28.8.2006</t>
  </si>
  <si>
    <t>Mishas counting in Protvino (up to sh 9)</t>
  </si>
  <si>
    <t xml:space="preserve">
</t>
  </si>
  <si>
    <t>March,07</t>
  </si>
  <si>
    <t>Jan,07</t>
  </si>
  <si>
    <t>1.June-360</t>
  </si>
  <si>
    <t>Exist at Protvino +Sh10</t>
  </si>
  <si>
    <t># Month w/t Sh10</t>
  </si>
  <si>
    <t>Pr Exist + Sh10 / IC</t>
  </si>
  <si>
    <t>Last month for production</t>
  </si>
  <si>
    <t>Apr,07</t>
  </si>
  <si>
    <t>Shipping before</t>
  </si>
  <si>
    <t>Jan.07</t>
  </si>
  <si>
    <t>Feb,07</t>
  </si>
  <si>
    <t>Nov,06</t>
  </si>
  <si>
    <t>w/tSh10?</t>
  </si>
  <si>
    <t>shipment 10 (Sep.06)</t>
  </si>
  <si>
    <t># Month w/t Sh10+401H</t>
  </si>
  <si>
    <t>Dec,07</t>
  </si>
  <si>
    <r>
      <t xml:space="preserve">Mishas counting in Protvino (up to </t>
    </r>
    <r>
      <rPr>
        <b/>
        <sz val="10"/>
        <color indexed="11"/>
        <rFont val="Arial"/>
        <family val="2"/>
      </rPr>
      <t>sh 9</t>
    </r>
    <r>
      <rPr>
        <b/>
        <sz val="10"/>
        <rFont val="Arial"/>
        <family val="2"/>
      </rPr>
      <t>)</t>
    </r>
  </si>
  <si>
    <t>Needed for 4305 IC</t>
  </si>
  <si>
    <t xml:space="preserve">Needed for 3805 Heads </t>
  </si>
  <si>
    <t>total needed quantity(SEM+IC rest)</t>
  </si>
  <si>
    <t>By whom</t>
  </si>
  <si>
    <t>Vuitton</t>
  </si>
  <si>
    <t>Number of order</t>
  </si>
  <si>
    <t>Franco</t>
  </si>
  <si>
    <t>New Ordered</t>
  </si>
  <si>
    <t>NGL? When it must order?</t>
  </si>
  <si>
    <t>IC=4305 - 500(UK)=3805 at Protvino</t>
  </si>
  <si>
    <t>For IC &amp; SEM at Pr</t>
  </si>
  <si>
    <t>New Ordered - Total needed</t>
  </si>
  <si>
    <t xml:space="preserve"> New Ordered - Total needed</t>
  </si>
  <si>
    <t>7.9.2006</t>
  </si>
  <si>
    <t>180m</t>
  </si>
  <si>
    <t>255m</t>
  </si>
  <si>
    <t>70m</t>
  </si>
  <si>
    <t>in Hall or EBH office</t>
  </si>
  <si>
    <t>Misha</t>
  </si>
  <si>
    <t>Not all good, 6 heads-11.09.06 at CERN</t>
  </si>
  <si>
    <t>37th</t>
  </si>
  <si>
    <t>11.09.2006</t>
  </si>
  <si>
    <t>38th</t>
  </si>
  <si>
    <t>14.09.2006</t>
  </si>
  <si>
    <t>19.09.2006</t>
  </si>
  <si>
    <t>39th</t>
  </si>
  <si>
    <t>26.9.2006</t>
  </si>
  <si>
    <t>25.9.2006</t>
  </si>
  <si>
    <t>NEW ORDER</t>
  </si>
  <si>
    <t>END OF 1ST ORDER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</si>
</sst>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  <numFmt numFmtId="221" formatCode="0;[Red]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6"/>
      <name val="Arial"/>
      <family val="0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1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92" fontId="0" fillId="13" borderId="2" xfId="0" applyNumberFormat="1" applyFill="1" applyBorder="1" applyAlignment="1">
      <alignment horizontal="center"/>
    </xf>
    <xf numFmtId="1" fontId="12" fillId="14" borderId="2" xfId="0" applyNumberFormat="1" applyFont="1" applyFill="1" applyBorder="1" applyAlignment="1">
      <alignment horizontal="center"/>
    </xf>
    <xf numFmtId="192" fontId="12" fillId="14" borderId="2" xfId="0" applyNumberFormat="1" applyFont="1" applyFill="1" applyBorder="1" applyAlignment="1">
      <alignment/>
    </xf>
    <xf numFmtId="19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192" fontId="0" fillId="4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" fontId="0" fillId="4" borderId="0" xfId="0" applyNumberFormat="1" applyFill="1" applyAlignment="1">
      <alignment/>
    </xf>
    <xf numFmtId="1" fontId="7" fillId="4" borderId="2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top" wrapText="1"/>
    </xf>
    <xf numFmtId="0" fontId="4" fillId="9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center" vertical="top" wrapText="1"/>
    </xf>
    <xf numFmtId="0" fontId="4" fillId="7" borderId="2" xfId="0" applyNumberFormat="1" applyFont="1" applyFill="1" applyBorder="1" applyAlignment="1">
      <alignment vertical="top" wrapText="1"/>
    </xf>
    <xf numFmtId="49" fontId="4" fillId="7" borderId="2" xfId="0" applyNumberFormat="1" applyFont="1" applyFill="1" applyBorder="1" applyAlignment="1">
      <alignment horizontal="center" vertical="top" wrapText="1"/>
    </xf>
    <xf numFmtId="0" fontId="0" fillId="7" borderId="0" xfId="0" applyNumberFormat="1" applyFill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16" borderId="0" xfId="0" applyFill="1" applyAlignment="1">
      <alignment/>
    </xf>
    <xf numFmtId="1" fontId="0" fillId="4" borderId="2" xfId="0" applyNumberFormat="1" applyFill="1" applyBorder="1" applyAlignment="1">
      <alignment/>
    </xf>
    <xf numFmtId="192" fontId="0" fillId="4" borderId="2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17" borderId="0" xfId="0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4" fillId="15" borderId="2" xfId="0" applyNumberFormat="1" applyFont="1" applyFill="1" applyBorder="1" applyAlignment="1">
      <alignment vertical="top" wrapText="1"/>
    </xf>
    <xf numFmtId="1" fontId="0" fillId="15" borderId="2" xfId="0" applyNumberFormat="1" applyFill="1" applyBorder="1" applyAlignment="1">
      <alignment/>
    </xf>
    <xf numFmtId="0" fontId="4" fillId="9" borderId="4" xfId="0" applyNumberFormat="1" applyFont="1" applyFill="1" applyBorder="1" applyAlignment="1">
      <alignment horizontal="center" vertical="top" wrapText="1"/>
    </xf>
    <xf numFmtId="1" fontId="0" fillId="0" borderId="4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2" borderId="4" xfId="0" applyNumberFormat="1" applyFill="1" applyBorder="1" applyAlignment="1">
      <alignment/>
    </xf>
    <xf numFmtId="1" fontId="0" fillId="0" borderId="4" xfId="0" applyNumberFormat="1" applyFont="1" applyFill="1" applyBorder="1" applyAlignment="1">
      <alignment horizontal="center"/>
    </xf>
    <xf numFmtId="1" fontId="10" fillId="10" borderId="4" xfId="0" applyNumberFormat="1" applyFont="1" applyFill="1" applyBorder="1" applyAlignment="1">
      <alignment horizontal="center"/>
    </xf>
    <xf numFmtId="192" fontId="0" fillId="2" borderId="4" xfId="0" applyNumberFormat="1" applyFill="1" applyBorder="1" applyAlignment="1">
      <alignment/>
    </xf>
    <xf numFmtId="1" fontId="7" fillId="0" borderId="4" xfId="0" applyNumberFormat="1" applyFon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92" fontId="0" fillId="2" borderId="4" xfId="0" applyNumberFormat="1" applyFont="1" applyFill="1" applyBorder="1" applyAlignment="1">
      <alignment/>
    </xf>
    <xf numFmtId="1" fontId="10" fillId="0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16" borderId="2" xfId="0" applyNumberFormat="1" applyFill="1" applyBorder="1" applyAlignment="1">
      <alignment horizontal="center"/>
    </xf>
    <xf numFmtId="1" fontId="0" fillId="16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ill="1" applyBorder="1" applyAlignment="1">
      <alignment/>
    </xf>
    <xf numFmtId="1" fontId="10" fillId="7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5" fillId="9" borderId="2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1" fontId="0" fillId="6" borderId="2" xfId="0" applyNumberFormat="1" applyFill="1" applyBorder="1" applyAlignment="1">
      <alignment horizontal="center"/>
    </xf>
    <xf numFmtId="0" fontId="4" fillId="7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/>
    </xf>
    <xf numFmtId="1" fontId="0" fillId="7" borderId="2" xfId="0" applyNumberFormat="1" applyFont="1" applyFill="1" applyBorder="1" applyAlignment="1">
      <alignment horizontal="center"/>
    </xf>
    <xf numFmtId="1" fontId="0" fillId="11" borderId="2" xfId="0" applyNumberFormat="1" applyFill="1" applyBorder="1" applyAlignment="1">
      <alignment horizontal="center"/>
    </xf>
    <xf numFmtId="1" fontId="0" fillId="9" borderId="2" xfId="0" applyNumberFormat="1" applyFill="1" applyBorder="1" applyAlignment="1">
      <alignment horizontal="center"/>
    </xf>
    <xf numFmtId="1" fontId="0" fillId="11" borderId="2" xfId="0" applyNumberFormat="1" applyFont="1" applyFill="1" applyBorder="1" applyAlignment="1">
      <alignment horizontal="center"/>
    </xf>
    <xf numFmtId="192" fontId="0" fillId="7" borderId="2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12" borderId="2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 wrapText="1"/>
    </xf>
    <xf numFmtId="1" fontId="0" fillId="8" borderId="2" xfId="0" applyNumberFormat="1" applyFill="1" applyBorder="1" applyAlignment="1">
      <alignment horizontal="center"/>
    </xf>
    <xf numFmtId="192" fontId="0" fillId="15" borderId="2" xfId="0" applyNumberFormat="1" applyFill="1" applyBorder="1" applyAlignment="1">
      <alignment/>
    </xf>
    <xf numFmtId="0" fontId="4" fillId="10" borderId="2" xfId="0" applyNumberFormat="1" applyFont="1" applyFill="1" applyBorder="1" applyAlignment="1">
      <alignment horizontal="center" vertical="center" wrapText="1"/>
    </xf>
    <xf numFmtId="1" fontId="0" fillId="4" borderId="2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0" fillId="15" borderId="2" xfId="0" applyFill="1" applyBorder="1" applyAlignment="1">
      <alignment/>
    </xf>
    <xf numFmtId="1" fontId="0" fillId="18" borderId="2" xfId="0" applyNumberFormat="1" applyFont="1" applyFill="1" applyBorder="1" applyAlignment="1">
      <alignment/>
    </xf>
    <xf numFmtId="1" fontId="0" fillId="15" borderId="2" xfId="0" applyNumberFormat="1" applyFill="1" applyBorder="1" applyAlignment="1">
      <alignment/>
    </xf>
    <xf numFmtId="0" fontId="0" fillId="18" borderId="2" xfId="0" applyFill="1" applyBorder="1" applyAlignment="1">
      <alignment/>
    </xf>
    <xf numFmtId="1" fontId="0" fillId="18" borderId="2" xfId="0" applyNumberFormat="1" applyFill="1" applyBorder="1" applyAlignment="1">
      <alignment/>
    </xf>
    <xf numFmtId="1" fontId="0" fillId="9" borderId="2" xfId="0" applyNumberFormat="1" applyFill="1" applyBorder="1" applyAlignment="1">
      <alignment/>
    </xf>
    <xf numFmtId="0" fontId="0" fillId="8" borderId="2" xfId="0" applyFill="1" applyBorder="1" applyAlignment="1">
      <alignment/>
    </xf>
    <xf numFmtId="0" fontId="0" fillId="16" borderId="2" xfId="0" applyFill="1" applyBorder="1" applyAlignment="1">
      <alignment/>
    </xf>
    <xf numFmtId="1" fontId="0" fillId="8" borderId="2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>
      <alignment/>
    </xf>
    <xf numFmtId="1" fontId="5" fillId="18" borderId="2" xfId="0" applyNumberFormat="1" applyFont="1" applyFill="1" applyBorder="1" applyAlignment="1">
      <alignment horizontal="center"/>
    </xf>
    <xf numFmtId="1" fontId="0" fillId="12" borderId="2" xfId="0" applyNumberFormat="1" applyFont="1" applyFill="1" applyBorder="1" applyAlignment="1">
      <alignment/>
    </xf>
    <xf numFmtId="1" fontId="5" fillId="12" borderId="2" xfId="0" applyNumberFormat="1" applyFont="1" applyFill="1" applyBorder="1" applyAlignment="1">
      <alignment horizontal="center"/>
    </xf>
    <xf numFmtId="0" fontId="4" fillId="19" borderId="2" xfId="0" applyNumberFormat="1" applyFont="1" applyFill="1" applyBorder="1" applyAlignment="1">
      <alignment vertical="top" wrapText="1"/>
    </xf>
    <xf numFmtId="0" fontId="4" fillId="9" borderId="2" xfId="0" applyFont="1" applyFill="1" applyBorder="1" applyAlignment="1">
      <alignment/>
    </xf>
    <xf numFmtId="0" fontId="0" fillId="20" borderId="2" xfId="0" applyFill="1" applyBorder="1" applyAlignment="1">
      <alignment horizontal="center" vertical="center"/>
    </xf>
    <xf numFmtId="1" fontId="0" fillId="20" borderId="2" xfId="0" applyNumberFormat="1" applyFill="1" applyBorder="1" applyAlignment="1">
      <alignment horizontal="center"/>
    </xf>
    <xf numFmtId="0" fontId="0" fillId="20" borderId="2" xfId="0" applyFill="1" applyBorder="1" applyAlignment="1">
      <alignment/>
    </xf>
    <xf numFmtId="1" fontId="0" fillId="20" borderId="2" xfId="0" applyNumberFormat="1" applyFill="1" applyBorder="1" applyAlignment="1">
      <alignment/>
    </xf>
    <xf numFmtId="0" fontId="0" fillId="9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33"/>
  <sheetViews>
    <sheetView workbookViewId="0" topLeftCell="A1">
      <pane xSplit="3" topLeftCell="AI1" activePane="topRight" state="frozen"/>
      <selection pane="topLeft" activeCell="A1" sqref="A1"/>
      <selection pane="topRight" activeCell="AM13" sqref="AM13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1" width="11.140625" style="0" customWidth="1"/>
    <col min="12" max="12" width="9.28125" style="0" bestFit="1" customWidth="1"/>
    <col min="13" max="13" width="11.8515625" style="0" customWidth="1"/>
    <col min="14" max="14" width="10.28125" style="0" bestFit="1" customWidth="1"/>
    <col min="15" max="15" width="10.28125" style="0" customWidth="1"/>
    <col min="16" max="16" width="11.57421875" style="142" customWidth="1"/>
    <col min="17" max="17" width="10.421875" style="0" customWidth="1"/>
    <col min="18" max="21" width="9.28125" style="0" customWidth="1"/>
    <col min="22" max="22" width="9.28125" style="159" customWidth="1"/>
    <col min="23" max="25" width="9.28125" style="0" customWidth="1"/>
    <col min="26" max="26" width="11.421875" style="0" customWidth="1"/>
    <col min="27" max="27" width="10.8515625" style="0" customWidth="1"/>
    <col min="28" max="28" width="11.8515625" style="0" customWidth="1"/>
    <col min="29" max="29" width="10.8515625" style="0" customWidth="1"/>
    <col min="30" max="30" width="9.28125" style="0" customWidth="1"/>
    <col min="31" max="32" width="11.421875" style="0" customWidth="1"/>
    <col min="33" max="33" width="9.28125" style="0" customWidth="1"/>
    <col min="34" max="34" width="13.57421875" style="0" customWidth="1"/>
    <col min="35" max="35" width="11.57421875" style="0" customWidth="1"/>
    <col min="36" max="36" width="13.57421875" style="0" customWidth="1"/>
    <col min="37" max="37" width="14.57421875" style="0" customWidth="1"/>
    <col min="38" max="38" width="11.421875" style="0" customWidth="1"/>
    <col min="39" max="39" width="12.28125" style="0" customWidth="1"/>
  </cols>
  <sheetData>
    <row r="1" spans="1:45" ht="74.25" customHeight="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208" t="s">
        <v>335</v>
      </c>
      <c r="K1" s="154" t="s">
        <v>330</v>
      </c>
      <c r="L1" s="189" t="s">
        <v>4</v>
      </c>
      <c r="M1" s="33" t="s">
        <v>29</v>
      </c>
      <c r="N1" s="38" t="s">
        <v>122</v>
      </c>
      <c r="O1" s="187" t="s">
        <v>331</v>
      </c>
      <c r="P1" s="33" t="s">
        <v>30</v>
      </c>
      <c r="Q1" s="156" t="s">
        <v>332</v>
      </c>
      <c r="R1" s="33" t="s">
        <v>225</v>
      </c>
      <c r="S1" s="40" t="s">
        <v>16</v>
      </c>
      <c r="T1" s="40" t="s">
        <v>28</v>
      </c>
      <c r="U1" s="39" t="s">
        <v>118</v>
      </c>
      <c r="V1" s="156" t="s">
        <v>226</v>
      </c>
      <c r="W1" s="156" t="s">
        <v>162</v>
      </c>
      <c r="X1" s="165" t="s">
        <v>117</v>
      </c>
      <c r="Y1" s="165" t="s">
        <v>245</v>
      </c>
      <c r="Z1" s="165" t="s">
        <v>415</v>
      </c>
      <c r="AA1" s="216" t="s">
        <v>398</v>
      </c>
      <c r="AB1" s="166" t="s">
        <v>379</v>
      </c>
      <c r="AC1" s="166" t="s">
        <v>380</v>
      </c>
      <c r="AD1" s="217" t="s">
        <v>360</v>
      </c>
      <c r="AE1" s="229" t="s">
        <v>375</v>
      </c>
      <c r="AF1" s="229" t="s">
        <v>376</v>
      </c>
      <c r="AG1" s="166" t="s">
        <v>378</v>
      </c>
      <c r="AH1" s="165" t="s">
        <v>353</v>
      </c>
      <c r="AI1" s="166" t="s">
        <v>355</v>
      </c>
      <c r="AJ1" s="209" t="s">
        <v>338</v>
      </c>
      <c r="AK1" s="231" t="s">
        <v>352</v>
      </c>
      <c r="AL1" s="41"/>
      <c r="AM1" s="254" t="s">
        <v>384</v>
      </c>
      <c r="AR1" s="8"/>
      <c r="AS1" s="8"/>
    </row>
    <row r="2" spans="1:39" ht="12.75">
      <c r="A2" s="41" t="s">
        <v>345</v>
      </c>
      <c r="B2" s="42"/>
      <c r="C2" s="43"/>
      <c r="D2" s="44"/>
      <c r="E2" s="44"/>
      <c r="F2" s="44"/>
      <c r="G2" s="85"/>
      <c r="H2" s="85"/>
      <c r="I2" s="46"/>
      <c r="J2" s="46"/>
      <c r="K2" s="46"/>
      <c r="L2" s="46"/>
      <c r="M2" s="47"/>
      <c r="N2" s="48"/>
      <c r="O2" s="48"/>
      <c r="P2" s="47"/>
      <c r="Q2" s="49"/>
      <c r="R2" s="47"/>
      <c r="S2" s="50"/>
      <c r="T2" s="50"/>
      <c r="U2" s="51"/>
      <c r="V2" s="89"/>
      <c r="W2" s="51"/>
      <c r="X2" s="52"/>
      <c r="Y2" s="52"/>
      <c r="Z2" s="220" t="s">
        <v>359</v>
      </c>
      <c r="AA2" s="52"/>
      <c r="AB2" s="53"/>
      <c r="AC2" s="53"/>
      <c r="AD2" s="220" t="s">
        <v>358</v>
      </c>
      <c r="AE2" s="230"/>
      <c r="AF2" s="230"/>
      <c r="AG2" s="220" t="s">
        <v>358</v>
      </c>
      <c r="AH2" s="88"/>
      <c r="AI2" s="53" t="s">
        <v>41</v>
      </c>
      <c r="AJ2" s="88"/>
      <c r="AK2" s="232"/>
      <c r="AL2" s="247" t="s">
        <v>381</v>
      </c>
      <c r="AM2" s="252" t="s">
        <v>394</v>
      </c>
    </row>
    <row r="3" spans="1:39" ht="12.75">
      <c r="A3" s="170" t="s">
        <v>323</v>
      </c>
      <c r="B3" s="54"/>
      <c r="C3" s="54"/>
      <c r="D3" s="55"/>
      <c r="E3" s="55"/>
      <c r="F3" s="55"/>
      <c r="G3" s="85"/>
      <c r="H3" s="85"/>
      <c r="I3" s="56"/>
      <c r="J3" s="186"/>
      <c r="K3" s="186">
        <v>4305</v>
      </c>
      <c r="L3" s="56"/>
      <c r="M3" s="52"/>
      <c r="N3" s="57"/>
      <c r="O3" s="57"/>
      <c r="P3" s="88"/>
      <c r="Q3" s="51"/>
      <c r="R3" s="52"/>
      <c r="S3" s="50"/>
      <c r="T3" s="50"/>
      <c r="U3" s="51"/>
      <c r="V3" s="89"/>
      <c r="W3" s="51"/>
      <c r="X3" s="52"/>
      <c r="Y3" s="52"/>
      <c r="Z3" s="52"/>
      <c r="AA3" s="52"/>
      <c r="AB3" s="53"/>
      <c r="AC3" s="53"/>
      <c r="AD3" s="53"/>
      <c r="AE3" s="53"/>
      <c r="AF3" s="53"/>
      <c r="AG3" s="223" t="s">
        <v>361</v>
      </c>
      <c r="AH3" s="52"/>
      <c r="AI3" s="53"/>
      <c r="AJ3" s="52"/>
      <c r="AK3" s="233"/>
      <c r="AL3" s="41"/>
      <c r="AM3" s="41"/>
    </row>
    <row r="4" spans="1:39" ht="12.75">
      <c r="A4" s="58"/>
      <c r="B4" s="59"/>
      <c r="C4" s="54"/>
      <c r="D4" s="55"/>
      <c r="E4" s="45">
        <v>4100</v>
      </c>
      <c r="F4" s="45">
        <f>$E4*5/100</f>
        <v>205</v>
      </c>
      <c r="G4" s="86">
        <v>350</v>
      </c>
      <c r="H4" s="88">
        <f>$G4*10/100</f>
        <v>35</v>
      </c>
      <c r="I4" s="46">
        <f>E4+F4+G4+H4</f>
        <v>4690</v>
      </c>
      <c r="J4" s="204">
        <f>I4</f>
        <v>4690</v>
      </c>
      <c r="K4" s="204">
        <f>E4+F4</f>
        <v>4305</v>
      </c>
      <c r="L4" s="7"/>
      <c r="M4" s="56"/>
      <c r="N4" s="52"/>
      <c r="O4" s="52"/>
      <c r="P4" s="188"/>
      <c r="Q4" s="52" t="s">
        <v>272</v>
      </c>
      <c r="R4" s="51"/>
      <c r="S4" s="50"/>
      <c r="T4" s="50"/>
      <c r="U4" s="61"/>
      <c r="V4" s="160"/>
      <c r="W4" s="61"/>
      <c r="X4" s="51"/>
      <c r="Y4" s="51"/>
      <c r="Z4" s="51"/>
      <c r="AA4" s="51"/>
      <c r="AB4" s="52"/>
      <c r="AC4" s="52"/>
      <c r="AD4" s="52"/>
      <c r="AE4" s="52"/>
      <c r="AF4" s="52"/>
      <c r="AG4" s="52"/>
      <c r="AH4" s="155">
        <v>4020</v>
      </c>
      <c r="AI4" s="52"/>
      <c r="AJ4" s="155"/>
      <c r="AK4" s="155"/>
      <c r="AL4" s="41"/>
      <c r="AM4" s="41"/>
    </row>
    <row r="5" spans="1:39" ht="12.75">
      <c r="A5" s="62" t="s">
        <v>61</v>
      </c>
      <c r="B5" s="63"/>
      <c r="C5" s="64"/>
      <c r="D5" s="65"/>
      <c r="E5" s="65"/>
      <c r="F5" s="65"/>
      <c r="G5" s="65"/>
      <c r="H5" s="66"/>
      <c r="I5" s="67"/>
      <c r="J5" s="67"/>
      <c r="K5" s="67"/>
      <c r="L5" s="68"/>
      <c r="M5" s="68"/>
      <c r="N5" s="67"/>
      <c r="O5" s="67"/>
      <c r="P5" s="69"/>
      <c r="Q5" s="67"/>
      <c r="R5" s="70"/>
      <c r="S5" s="71"/>
      <c r="T5" s="71"/>
      <c r="U5" s="72"/>
      <c r="V5" s="72"/>
      <c r="W5" s="72"/>
      <c r="X5" s="70"/>
      <c r="Y5" s="70"/>
      <c r="Z5" s="70"/>
      <c r="AA5" s="70"/>
      <c r="AB5" s="67"/>
      <c r="AC5" s="67"/>
      <c r="AD5" s="67"/>
      <c r="AE5" s="67"/>
      <c r="AF5" s="67"/>
      <c r="AG5" s="67"/>
      <c r="AH5" s="73"/>
      <c r="AI5" s="67"/>
      <c r="AJ5" s="73"/>
      <c r="AK5" s="234"/>
      <c r="AL5" s="73"/>
      <c r="AM5" s="41"/>
    </row>
    <row r="6" spans="1:39" ht="12.75">
      <c r="A6" s="74" t="s">
        <v>144</v>
      </c>
      <c r="B6" s="43" t="s">
        <v>47</v>
      </c>
      <c r="C6" s="75" t="s">
        <v>32</v>
      </c>
      <c r="D6" s="76">
        <v>1</v>
      </c>
      <c r="E6" s="45">
        <f>$E$4</f>
        <v>4100</v>
      </c>
      <c r="F6" s="45">
        <f>$E6*5/100</f>
        <v>205</v>
      </c>
      <c r="G6" s="86"/>
      <c r="H6" s="85"/>
      <c r="I6" s="46">
        <f>D6*(E6+F6+G6+H6)</f>
        <v>4305</v>
      </c>
      <c r="J6" s="151">
        <f>I6</f>
        <v>4305</v>
      </c>
      <c r="K6" s="151">
        <f>D6*K4</f>
        <v>4305</v>
      </c>
      <c r="L6" s="77">
        <v>3800</v>
      </c>
      <c r="M6" s="47" t="s">
        <v>94</v>
      </c>
      <c r="N6" s="78">
        <f>-I6+L6</f>
        <v>-505</v>
      </c>
      <c r="O6" s="130">
        <f>-K6+L6</f>
        <v>-505</v>
      </c>
      <c r="P6" s="96">
        <v>4133</v>
      </c>
      <c r="Q6" s="51" t="s">
        <v>308</v>
      </c>
      <c r="R6" s="171">
        <f aca="true" t="shared" si="0" ref="R6:R49">-I6+P6</f>
        <v>-172</v>
      </c>
      <c r="S6" s="140" t="s">
        <v>31</v>
      </c>
      <c r="T6" s="50" t="s">
        <v>105</v>
      </c>
      <c r="U6" s="51"/>
      <c r="V6" s="157"/>
      <c r="W6" s="157" t="s">
        <v>163</v>
      </c>
      <c r="X6" s="162">
        <v>1394</v>
      </c>
      <c r="Y6" s="162">
        <f>W6+X6</f>
        <v>3773</v>
      </c>
      <c r="Z6" s="249">
        <v>3773</v>
      </c>
      <c r="AA6" s="162">
        <f>Z6+AE6+AF6+AG6</f>
        <v>3781</v>
      </c>
      <c r="AB6" s="147">
        <f>Y6-J6</f>
        <v>-532</v>
      </c>
      <c r="AC6" s="147">
        <f>Y6-K6</f>
        <v>-532</v>
      </c>
      <c r="AD6" s="91">
        <v>0</v>
      </c>
      <c r="AE6" s="91"/>
      <c r="AF6" s="91"/>
      <c r="AG6" s="202">
        <f>(7+1)</f>
        <v>8</v>
      </c>
      <c r="AH6" s="173">
        <f aca="true" t="shared" si="1" ref="AH6:AH18">Y6/D6+AG6</f>
        <v>3781</v>
      </c>
      <c r="AI6" s="147">
        <f>AD6+AB6</f>
        <v>-532</v>
      </c>
      <c r="AJ6" s="88">
        <f>J6-AA6</f>
        <v>524</v>
      </c>
      <c r="AK6" s="232"/>
      <c r="AL6" s="243">
        <f>AJ6+AI6</f>
        <v>-8</v>
      </c>
      <c r="AM6" s="183"/>
    </row>
    <row r="7" spans="1:40" s="15" customFormat="1" ht="12.75">
      <c r="A7" s="99" t="s">
        <v>145</v>
      </c>
      <c r="B7" s="83"/>
      <c r="C7" s="129" t="s">
        <v>32</v>
      </c>
      <c r="D7" s="84">
        <v>1</v>
      </c>
      <c r="E7" s="84"/>
      <c r="F7" s="84"/>
      <c r="G7" s="86">
        <f>$G$4</f>
        <v>350</v>
      </c>
      <c r="H7" s="88">
        <f>$G7*10/100</f>
        <v>35</v>
      </c>
      <c r="I7" s="87">
        <f>D7*(E7+F7+G7+H7)</f>
        <v>385</v>
      </c>
      <c r="J7" s="87">
        <f aca="true" t="shared" si="2" ref="J7:J18">I7</f>
        <v>385</v>
      </c>
      <c r="K7" s="87"/>
      <c r="L7" s="87">
        <v>310</v>
      </c>
      <c r="M7" s="88" t="s">
        <v>94</v>
      </c>
      <c r="N7" s="130">
        <f>-I7+L7</f>
        <v>-75</v>
      </c>
      <c r="O7" s="130">
        <f aca="true" t="shared" si="3" ref="O7:O32">-K7+L7</f>
        <v>310</v>
      </c>
      <c r="P7" s="88">
        <v>118</v>
      </c>
      <c r="Q7" s="89"/>
      <c r="R7" s="130">
        <f>-I7+P7</f>
        <v>-267</v>
      </c>
      <c r="S7" s="90" t="s">
        <v>31</v>
      </c>
      <c r="T7" s="90" t="s">
        <v>24</v>
      </c>
      <c r="U7" s="89"/>
      <c r="V7" s="89"/>
      <c r="W7" s="89"/>
      <c r="X7" s="88"/>
      <c r="Y7" s="88"/>
      <c r="Z7" s="88"/>
      <c r="AA7" s="88"/>
      <c r="AB7" s="91"/>
      <c r="AC7" s="91"/>
      <c r="AD7" s="260">
        <v>203</v>
      </c>
      <c r="AE7" s="91"/>
      <c r="AF7" s="91"/>
      <c r="AG7" s="202">
        <f>(208+1+1)</f>
        <v>210</v>
      </c>
      <c r="AH7" s="173">
        <f t="shared" si="1"/>
        <v>210</v>
      </c>
      <c r="AI7" s="91"/>
      <c r="AJ7" s="88">
        <f>J7-AA7</f>
        <v>385</v>
      </c>
      <c r="AK7" s="232"/>
      <c r="AL7" s="243">
        <f aca="true" t="shared" si="4" ref="AL7:AL50">AJ7+AI7</f>
        <v>385</v>
      </c>
      <c r="AM7" s="41"/>
      <c r="AN7"/>
    </row>
    <row r="8" spans="1:39" ht="12.75">
      <c r="A8" s="81" t="s">
        <v>46</v>
      </c>
      <c r="B8" s="42" t="s">
        <v>146</v>
      </c>
      <c r="C8" s="75" t="s">
        <v>32</v>
      </c>
      <c r="D8" s="44">
        <v>1</v>
      </c>
      <c r="E8" s="45">
        <f>$E$4</f>
        <v>4100</v>
      </c>
      <c r="F8" s="45">
        <f>$E8*5/100</f>
        <v>205</v>
      </c>
      <c r="G8" s="86">
        <f>$G$4</f>
        <v>350</v>
      </c>
      <c r="H8" s="88">
        <f>$G8*10/100</f>
        <v>35</v>
      </c>
      <c r="I8" s="46">
        <f>D8*(E8+F8+G8+H8)</f>
        <v>4690</v>
      </c>
      <c r="J8" s="151">
        <f t="shared" si="2"/>
        <v>4690</v>
      </c>
      <c r="K8" s="151">
        <f>K4*D8</f>
        <v>4305</v>
      </c>
      <c r="L8" s="77">
        <v>4110</v>
      </c>
      <c r="M8" s="47" t="s">
        <v>94</v>
      </c>
      <c r="N8" s="78">
        <f>-I8+L8</f>
        <v>-580</v>
      </c>
      <c r="O8" s="130">
        <f t="shared" si="3"/>
        <v>-195</v>
      </c>
      <c r="P8" s="96">
        <v>4271</v>
      </c>
      <c r="Q8" s="89" t="s">
        <v>314</v>
      </c>
      <c r="R8" s="171">
        <f t="shared" si="0"/>
        <v>-419</v>
      </c>
      <c r="S8" s="140" t="s">
        <v>31</v>
      </c>
      <c r="T8" s="50" t="s">
        <v>105</v>
      </c>
      <c r="U8" s="51"/>
      <c r="V8" s="157"/>
      <c r="W8" s="157" t="s">
        <v>164</v>
      </c>
      <c r="X8" s="162">
        <v>1500</v>
      </c>
      <c r="Y8" s="162">
        <f>W8+X8</f>
        <v>3818</v>
      </c>
      <c r="Z8" s="249">
        <v>3818</v>
      </c>
      <c r="AA8" s="162">
        <f>Z8+AE8+AF8+AG8</f>
        <v>4029</v>
      </c>
      <c r="AB8" s="147">
        <f>Y8-J8</f>
        <v>-872</v>
      </c>
      <c r="AC8" s="147">
        <f>Y8-K8</f>
        <v>-487</v>
      </c>
      <c r="AD8" s="260">
        <v>207</v>
      </c>
      <c r="AE8" s="91"/>
      <c r="AF8" s="91"/>
      <c r="AG8" s="202">
        <f>207+3+1</f>
        <v>211</v>
      </c>
      <c r="AH8" s="173">
        <f t="shared" si="1"/>
        <v>4029</v>
      </c>
      <c r="AI8" s="147">
        <f>AD8+AB8</f>
        <v>-665</v>
      </c>
      <c r="AJ8" s="88">
        <f>J8-AA8</f>
        <v>661</v>
      </c>
      <c r="AK8" s="235" t="s">
        <v>343</v>
      </c>
      <c r="AL8" s="243">
        <f t="shared" si="4"/>
        <v>-4</v>
      </c>
      <c r="AM8" s="183"/>
    </row>
    <row r="9" spans="1:39" ht="12.75">
      <c r="A9" s="74" t="s">
        <v>147</v>
      </c>
      <c r="B9" s="54"/>
      <c r="C9" s="54"/>
      <c r="D9" s="55">
        <v>2</v>
      </c>
      <c r="E9" s="45">
        <f>E4</f>
        <v>4100</v>
      </c>
      <c r="F9" s="45">
        <f>$E9*5/100</f>
        <v>205</v>
      </c>
      <c r="G9" s="85"/>
      <c r="H9" s="85"/>
      <c r="I9" s="46">
        <f>D9*(E9+F9+G9+H9)</f>
        <v>8610</v>
      </c>
      <c r="J9" s="152">
        <f t="shared" si="2"/>
        <v>8610</v>
      </c>
      <c r="K9" s="152">
        <f>K4*D9</f>
        <v>8610</v>
      </c>
      <c r="L9" s="77">
        <v>7110</v>
      </c>
      <c r="M9" s="92" t="s">
        <v>91</v>
      </c>
      <c r="N9" s="78">
        <f>-I9+L9</f>
        <v>-1500</v>
      </c>
      <c r="O9" s="130">
        <f t="shared" si="3"/>
        <v>-1500</v>
      </c>
      <c r="P9" s="96">
        <f>Y9+576+AD9</f>
        <v>8691</v>
      </c>
      <c r="Q9" s="51" t="s">
        <v>311</v>
      </c>
      <c r="R9" s="171">
        <f t="shared" si="0"/>
        <v>81</v>
      </c>
      <c r="S9" s="50"/>
      <c r="T9" s="50" t="s">
        <v>24</v>
      </c>
      <c r="U9" s="93"/>
      <c r="V9" s="157" t="s">
        <v>228</v>
      </c>
      <c r="W9" s="162">
        <f>2029+898+480</f>
        <v>3407</v>
      </c>
      <c r="X9" s="162">
        <v>0</v>
      </c>
      <c r="Y9" s="162">
        <f>V9+W9+X9+1909</f>
        <v>5326</v>
      </c>
      <c r="Z9" s="249">
        <v>5284</v>
      </c>
      <c r="AA9" s="162">
        <f>Z9+AE9+AF9+AG9</f>
        <v>11354</v>
      </c>
      <c r="AB9" s="147">
        <f>Y9-J9</f>
        <v>-3284</v>
      </c>
      <c r="AC9" s="147">
        <f>Y9-K9</f>
        <v>-3284</v>
      </c>
      <c r="AD9" s="260">
        <v>2789</v>
      </c>
      <c r="AE9" s="91">
        <v>1903</v>
      </c>
      <c r="AF9" s="91">
        <v>1378</v>
      </c>
      <c r="AG9" s="91">
        <f>AD9</f>
        <v>2789</v>
      </c>
      <c r="AH9" s="173">
        <f t="shared" si="1"/>
        <v>5452</v>
      </c>
      <c r="AI9" s="147">
        <f>AD9+AB9</f>
        <v>-495</v>
      </c>
      <c r="AJ9" s="88">
        <f>J9-AA9</f>
        <v>-2744</v>
      </c>
      <c r="AK9" s="235" t="s">
        <v>344</v>
      </c>
      <c r="AL9" s="243">
        <f t="shared" si="4"/>
        <v>-3239</v>
      </c>
      <c r="AM9" s="106">
        <v>1550</v>
      </c>
    </row>
    <row r="10" spans="1:40" s="15" customFormat="1" ht="12.75">
      <c r="A10" s="99" t="s">
        <v>148</v>
      </c>
      <c r="B10" s="83"/>
      <c r="C10" s="83" t="s">
        <v>58</v>
      </c>
      <c r="D10" s="84">
        <v>1</v>
      </c>
      <c r="E10" s="84"/>
      <c r="F10" s="84"/>
      <c r="G10" s="86">
        <f>$G$4</f>
        <v>350</v>
      </c>
      <c r="H10" s="88">
        <f>$G10*10/100</f>
        <v>35</v>
      </c>
      <c r="I10" s="87" t="s">
        <v>41</v>
      </c>
      <c r="J10" s="87" t="s">
        <v>41</v>
      </c>
      <c r="K10" s="87"/>
      <c r="L10" s="87"/>
      <c r="M10" s="100"/>
      <c r="N10" s="130" t="e">
        <f>-I10+L10</f>
        <v>#VALUE!</v>
      </c>
      <c r="O10" s="130">
        <f t="shared" si="3"/>
        <v>0</v>
      </c>
      <c r="P10" s="82"/>
      <c r="Q10" s="105"/>
      <c r="R10" s="130" t="e">
        <f t="shared" si="0"/>
        <v>#VALUE!</v>
      </c>
      <c r="S10" s="90"/>
      <c r="T10" s="90"/>
      <c r="U10" s="105"/>
      <c r="V10" s="105"/>
      <c r="W10" s="105"/>
      <c r="X10" s="82"/>
      <c r="Y10" s="82"/>
      <c r="Z10" s="82"/>
      <c r="AA10" s="82"/>
      <c r="AB10" s="91"/>
      <c r="AC10" s="91"/>
      <c r="AD10" s="91"/>
      <c r="AE10" s="91"/>
      <c r="AF10" s="91"/>
      <c r="AG10" s="91"/>
      <c r="AH10" s="88">
        <f t="shared" si="1"/>
        <v>0</v>
      </c>
      <c r="AI10" s="91"/>
      <c r="AJ10" s="88"/>
      <c r="AK10" s="232"/>
      <c r="AL10" s="243"/>
      <c r="AM10" s="41"/>
      <c r="AN10"/>
    </row>
    <row r="11" spans="1:39" ht="12.75">
      <c r="A11" s="81" t="s">
        <v>149</v>
      </c>
      <c r="B11" s="59" t="s">
        <v>57</v>
      </c>
      <c r="C11" s="59" t="s">
        <v>240</v>
      </c>
      <c r="D11" s="60">
        <v>61</v>
      </c>
      <c r="E11" s="45">
        <f>$E$4</f>
        <v>4100</v>
      </c>
      <c r="F11" s="45">
        <f>$E11*5/100</f>
        <v>205</v>
      </c>
      <c r="G11" s="85"/>
      <c r="H11" s="85"/>
      <c r="I11" s="46">
        <f>D11*(E11+F11+G11+H11)</f>
        <v>262605</v>
      </c>
      <c r="J11" s="152">
        <f t="shared" si="2"/>
        <v>262605</v>
      </c>
      <c r="K11" s="152">
        <f>K4*D11</f>
        <v>262605</v>
      </c>
      <c r="L11" s="77">
        <v>208020</v>
      </c>
      <c r="M11" s="46" t="s">
        <v>91</v>
      </c>
      <c r="N11" s="78">
        <f>-I11+L11-I12+L12</f>
        <v>-55355</v>
      </c>
      <c r="O11" s="130">
        <f t="shared" si="3"/>
        <v>-54585</v>
      </c>
      <c r="P11" s="77">
        <f>Y11</f>
        <v>207126</v>
      </c>
      <c r="Q11" s="89" t="s">
        <v>299</v>
      </c>
      <c r="R11" s="171">
        <f t="shared" si="0"/>
        <v>-55479</v>
      </c>
      <c r="S11" s="50"/>
      <c r="T11" s="50" t="s">
        <v>24</v>
      </c>
      <c r="U11" s="49" t="s">
        <v>120</v>
      </c>
      <c r="V11" s="157" t="s">
        <v>232</v>
      </c>
      <c r="W11" s="157" t="s">
        <v>299</v>
      </c>
      <c r="X11" s="163">
        <v>0</v>
      </c>
      <c r="Y11" s="162">
        <f>V11+W11+X11</f>
        <v>207126</v>
      </c>
      <c r="Z11" s="249">
        <v>207000</v>
      </c>
      <c r="AA11" s="162">
        <f>Z11+AE11+AF11+AG11</f>
        <v>209363</v>
      </c>
      <c r="AB11" s="147">
        <f>Y11-J11</f>
        <v>-55479</v>
      </c>
      <c r="AC11" s="147">
        <f>Y11-K11</f>
        <v>-55479</v>
      </c>
      <c r="AD11" s="260">
        <v>3273</v>
      </c>
      <c r="AE11" s="91"/>
      <c r="AF11" s="91"/>
      <c r="AG11" s="202">
        <f>2363</f>
        <v>2363</v>
      </c>
      <c r="AH11" s="173">
        <f t="shared" si="1"/>
        <v>5758.508196721312</v>
      </c>
      <c r="AI11" s="147">
        <f>AD11+AB11</f>
        <v>-52206</v>
      </c>
      <c r="AJ11" s="88">
        <f>J11-AA11</f>
        <v>53242</v>
      </c>
      <c r="AK11" s="235"/>
      <c r="AL11" s="246">
        <f t="shared" si="4"/>
        <v>1036</v>
      </c>
      <c r="AM11" s="106">
        <v>57000</v>
      </c>
    </row>
    <row r="12" spans="1:40" s="15" customFormat="1" ht="12.75">
      <c r="A12" s="82" t="s">
        <v>336</v>
      </c>
      <c r="B12" s="97" t="s">
        <v>57</v>
      </c>
      <c r="C12" s="97" t="s">
        <v>58</v>
      </c>
      <c r="D12" s="86">
        <v>2</v>
      </c>
      <c r="E12" s="86"/>
      <c r="F12" s="86"/>
      <c r="G12" s="86">
        <f>$G$4</f>
        <v>350</v>
      </c>
      <c r="H12" s="88">
        <f>$G12*10/100</f>
        <v>35</v>
      </c>
      <c r="I12" s="87">
        <f>D12*(E12+F12+G12+H12)</f>
        <v>770</v>
      </c>
      <c r="J12" s="87">
        <f t="shared" si="2"/>
        <v>770</v>
      </c>
      <c r="K12" s="87"/>
      <c r="L12" s="87">
        <v>0</v>
      </c>
      <c r="M12" s="87"/>
      <c r="N12" s="130"/>
      <c r="O12" s="130">
        <f t="shared" si="3"/>
        <v>0</v>
      </c>
      <c r="P12" s="87"/>
      <c r="Q12" s="89"/>
      <c r="R12" s="130">
        <f t="shared" si="0"/>
        <v>-770</v>
      </c>
      <c r="S12" s="90"/>
      <c r="T12" s="90"/>
      <c r="U12" s="89" t="s">
        <v>120</v>
      </c>
      <c r="V12" s="89"/>
      <c r="W12" s="89"/>
      <c r="X12" s="88"/>
      <c r="Y12" s="88"/>
      <c r="Z12" s="88"/>
      <c r="AA12" s="88"/>
      <c r="AB12" s="91"/>
      <c r="AC12" s="91"/>
      <c r="AD12" s="91"/>
      <c r="AE12" s="91"/>
      <c r="AF12" s="91"/>
      <c r="AG12" s="91"/>
      <c r="AH12" s="88">
        <f t="shared" si="1"/>
        <v>0</v>
      </c>
      <c r="AI12" s="91"/>
      <c r="AJ12" s="88">
        <f>J12-AA12</f>
        <v>770</v>
      </c>
      <c r="AK12" s="232"/>
      <c r="AL12" s="243">
        <f t="shared" si="4"/>
        <v>770</v>
      </c>
      <c r="AM12" s="41"/>
      <c r="AN12"/>
    </row>
    <row r="13" spans="1:39" ht="24" customHeight="1">
      <c r="A13" s="74" t="s">
        <v>20</v>
      </c>
      <c r="B13" s="43" t="s">
        <v>60</v>
      </c>
      <c r="C13" s="97" t="s">
        <v>59</v>
      </c>
      <c r="D13" s="44">
        <v>183</v>
      </c>
      <c r="E13" s="45">
        <f>$E$4</f>
        <v>4100</v>
      </c>
      <c r="F13" s="45">
        <f>$E13*5/100</f>
        <v>205</v>
      </c>
      <c r="G13" s="86"/>
      <c r="H13" s="85"/>
      <c r="I13" s="46">
        <f>D13*(E13+F13+G13+H13)+D14*(E14+F14+G14+H14)</f>
        <v>791280</v>
      </c>
      <c r="J13" s="152">
        <f t="shared" si="2"/>
        <v>791280</v>
      </c>
      <c r="K13" s="152">
        <f>K4*D13</f>
        <v>787815</v>
      </c>
      <c r="L13" s="77">
        <f>698300</f>
        <v>698300</v>
      </c>
      <c r="M13" s="47" t="s">
        <v>92</v>
      </c>
      <c r="N13" s="78">
        <f>-I13+L13-I14+L14</f>
        <v>-92980</v>
      </c>
      <c r="O13" s="130">
        <f t="shared" si="3"/>
        <v>-89515</v>
      </c>
      <c r="P13" s="96">
        <f>Y13+1000+48075+AD13</f>
        <v>561526</v>
      </c>
      <c r="Q13" s="51" t="s">
        <v>305</v>
      </c>
      <c r="R13" s="171">
        <f t="shared" si="0"/>
        <v>-229754</v>
      </c>
      <c r="S13" s="140" t="s">
        <v>31</v>
      </c>
      <c r="T13" s="50" t="s">
        <v>124</v>
      </c>
      <c r="U13" s="89" t="s">
        <v>41</v>
      </c>
      <c r="V13" s="157" t="s">
        <v>233</v>
      </c>
      <c r="W13" s="157" t="s">
        <v>362</v>
      </c>
      <c r="X13" s="162">
        <v>1830</v>
      </c>
      <c r="Y13" s="162">
        <f>V13+W13+X13</f>
        <v>357575</v>
      </c>
      <c r="Z13" s="249">
        <v>346854</v>
      </c>
      <c r="AA13" s="162">
        <f>Z13+AE13+AF13+AG13</f>
        <v>678725</v>
      </c>
      <c r="AB13" s="147">
        <f>Y13-J13</f>
        <v>-433705</v>
      </c>
      <c r="AC13" s="147">
        <f>Y13-K13</f>
        <v>-430240</v>
      </c>
      <c r="AD13" s="260">
        <v>154876</v>
      </c>
      <c r="AE13" s="91">
        <v>119835</v>
      </c>
      <c r="AF13" s="91">
        <v>57160</v>
      </c>
      <c r="AG13" s="91">
        <f>AD13</f>
        <v>154876</v>
      </c>
      <c r="AH13" s="173">
        <f t="shared" si="1"/>
        <v>156829.96174863388</v>
      </c>
      <c r="AI13" s="147">
        <f>AD13+AB13</f>
        <v>-278829</v>
      </c>
      <c r="AJ13" s="244">
        <f>J13-L13</f>
        <v>92980</v>
      </c>
      <c r="AK13" s="245" t="s">
        <v>344</v>
      </c>
      <c r="AL13" s="243">
        <f t="shared" si="4"/>
        <v>-185849</v>
      </c>
      <c r="AM13" s="247">
        <v>103700</v>
      </c>
    </row>
    <row r="14" spans="1:40" s="15" customFormat="1" ht="12.75">
      <c r="A14" s="99" t="s">
        <v>150</v>
      </c>
      <c r="B14" s="83" t="s">
        <v>60</v>
      </c>
      <c r="C14" s="97" t="s">
        <v>59</v>
      </c>
      <c r="D14" s="84">
        <v>9</v>
      </c>
      <c r="E14" s="85"/>
      <c r="F14" s="85"/>
      <c r="G14" s="86">
        <v>350</v>
      </c>
      <c r="H14" s="88">
        <v>35</v>
      </c>
      <c r="I14" s="87"/>
      <c r="J14" s="87"/>
      <c r="K14" s="87"/>
      <c r="L14" s="87"/>
      <c r="M14" s="88"/>
      <c r="N14" s="130"/>
      <c r="O14" s="130">
        <f t="shared" si="3"/>
        <v>0</v>
      </c>
      <c r="P14" s="88"/>
      <c r="Q14" s="89"/>
      <c r="R14" s="130" t="s">
        <v>230</v>
      </c>
      <c r="S14" s="90"/>
      <c r="T14" s="90"/>
      <c r="U14" s="89" t="s">
        <v>41</v>
      </c>
      <c r="V14" s="89"/>
      <c r="W14" s="89"/>
      <c r="X14" s="88"/>
      <c r="Y14" s="88"/>
      <c r="Z14" s="88"/>
      <c r="AA14" s="88"/>
      <c r="AB14" s="91"/>
      <c r="AC14" s="91"/>
      <c r="AD14" s="91"/>
      <c r="AE14" s="91"/>
      <c r="AF14" s="91"/>
      <c r="AG14" s="91"/>
      <c r="AH14" s="88">
        <f t="shared" si="1"/>
        <v>0</v>
      </c>
      <c r="AI14" s="91"/>
      <c r="AJ14" s="88">
        <f>J14-(AA14*D14)</f>
        <v>0</v>
      </c>
      <c r="AK14" s="232"/>
      <c r="AL14" s="243"/>
      <c r="AM14" s="41"/>
      <c r="AN14"/>
    </row>
    <row r="15" spans="1:40" s="15" customFormat="1" ht="12.75">
      <c r="A15" s="99" t="s">
        <v>151</v>
      </c>
      <c r="B15" s="83" t="s">
        <v>60</v>
      </c>
      <c r="C15" s="97" t="s">
        <v>59</v>
      </c>
      <c r="D15" s="84">
        <v>3</v>
      </c>
      <c r="E15" s="86"/>
      <c r="F15" s="84"/>
      <c r="G15" s="86" t="s">
        <v>230</v>
      </c>
      <c r="H15" s="88" t="s">
        <v>230</v>
      </c>
      <c r="I15" s="87" t="e">
        <f>D15*(E15+F15+G15+H15)</f>
        <v>#VALUE!</v>
      </c>
      <c r="J15" s="87" t="e">
        <f t="shared" si="2"/>
        <v>#VALUE!</v>
      </c>
      <c r="K15" s="87"/>
      <c r="L15" s="100">
        <f>930</f>
        <v>930</v>
      </c>
      <c r="M15" s="88" t="s">
        <v>92</v>
      </c>
      <c r="N15" s="130" t="e">
        <f>-I15+L15</f>
        <v>#VALUE!</v>
      </c>
      <c r="O15" s="130">
        <f t="shared" si="3"/>
        <v>930</v>
      </c>
      <c r="P15" s="88">
        <f>948</f>
        <v>948</v>
      </c>
      <c r="Q15" s="89"/>
      <c r="R15" s="130" t="e">
        <f t="shared" si="0"/>
        <v>#VALUE!</v>
      </c>
      <c r="S15" s="90"/>
      <c r="T15" s="90"/>
      <c r="U15" s="89" t="s">
        <v>41</v>
      </c>
      <c r="V15" s="89"/>
      <c r="W15" s="89"/>
      <c r="X15" s="88"/>
      <c r="Y15" s="88"/>
      <c r="Z15" s="88"/>
      <c r="AA15" s="88"/>
      <c r="AB15" s="91"/>
      <c r="AC15" s="91"/>
      <c r="AD15" s="91"/>
      <c r="AE15" s="91"/>
      <c r="AF15" s="91"/>
      <c r="AG15" s="91"/>
      <c r="AH15" s="88">
        <f t="shared" si="1"/>
        <v>0</v>
      </c>
      <c r="AI15" s="91"/>
      <c r="AJ15" s="88"/>
      <c r="AK15" s="232"/>
      <c r="AL15" s="243"/>
      <c r="AM15" s="41"/>
      <c r="AN15"/>
    </row>
    <row r="16" spans="1:39" ht="24" customHeight="1">
      <c r="A16" s="74" t="s">
        <v>21</v>
      </c>
      <c r="B16" s="43" t="s">
        <v>60</v>
      </c>
      <c r="C16" s="97" t="s">
        <v>59</v>
      </c>
      <c r="D16" s="44">
        <v>6</v>
      </c>
      <c r="E16" s="45">
        <f>$E$4</f>
        <v>4100</v>
      </c>
      <c r="F16" s="45">
        <f>$E16*5/100</f>
        <v>205</v>
      </c>
      <c r="G16" s="86"/>
      <c r="H16" s="85"/>
      <c r="I16" s="46">
        <f>D16*(E16+F16+G16+H16)</f>
        <v>25830</v>
      </c>
      <c r="J16" s="152">
        <f t="shared" si="2"/>
        <v>25830</v>
      </c>
      <c r="K16" s="152">
        <f>K4*D16</f>
        <v>25830</v>
      </c>
      <c r="L16" s="98">
        <f>22800</f>
        <v>22800</v>
      </c>
      <c r="M16" s="47" t="s">
        <v>92</v>
      </c>
      <c r="N16" s="78">
        <f>-I16+L16</f>
        <v>-3030</v>
      </c>
      <c r="O16" s="130">
        <f t="shared" si="3"/>
        <v>-3030</v>
      </c>
      <c r="P16" s="96">
        <f>Y16+AD16</f>
        <v>23815</v>
      </c>
      <c r="Q16" s="51" t="s">
        <v>306</v>
      </c>
      <c r="R16" s="171">
        <f t="shared" si="0"/>
        <v>-2015</v>
      </c>
      <c r="S16" s="140" t="s">
        <v>31</v>
      </c>
      <c r="T16" s="50" t="s">
        <v>124</v>
      </c>
      <c r="U16" s="89" t="s">
        <v>41</v>
      </c>
      <c r="V16" s="157" t="s">
        <v>234</v>
      </c>
      <c r="W16" s="157" t="s">
        <v>166</v>
      </c>
      <c r="X16" s="162">
        <v>60</v>
      </c>
      <c r="Y16" s="162">
        <f>V16+W16+X16</f>
        <v>10625</v>
      </c>
      <c r="Z16" s="249">
        <v>10604</v>
      </c>
      <c r="AA16" s="162">
        <f>Z16+AE16+AF16+AG16</f>
        <v>10604</v>
      </c>
      <c r="AB16" s="147">
        <f>Y16-J16</f>
        <v>-15205</v>
      </c>
      <c r="AC16" s="147">
        <f>Y16-K16</f>
        <v>-15205</v>
      </c>
      <c r="AD16" s="260">
        <v>13190</v>
      </c>
      <c r="AE16" s="91"/>
      <c r="AF16" s="91"/>
      <c r="AG16" s="202"/>
      <c r="AH16" s="173">
        <f t="shared" si="1"/>
        <v>1770.8333333333333</v>
      </c>
      <c r="AI16" s="147">
        <f>AD16+AB16</f>
        <v>-2015</v>
      </c>
      <c r="AJ16" s="244">
        <f>J16-L16</f>
        <v>3030</v>
      </c>
      <c r="AK16" s="245" t="s">
        <v>344</v>
      </c>
      <c r="AL16" s="243">
        <f t="shared" si="4"/>
        <v>1015</v>
      </c>
      <c r="AM16" s="247">
        <v>3500</v>
      </c>
    </row>
    <row r="17" spans="1:42" ht="12.75">
      <c r="A17" s="74" t="s">
        <v>68</v>
      </c>
      <c r="B17" s="43" t="s">
        <v>67</v>
      </c>
      <c r="C17" s="59" t="s">
        <v>72</v>
      </c>
      <c r="D17" s="44">
        <v>1</v>
      </c>
      <c r="E17" s="45">
        <f>$E$4</f>
        <v>4100</v>
      </c>
      <c r="F17" s="45">
        <f>$E17*5/100</f>
        <v>205</v>
      </c>
      <c r="G17" s="86">
        <f>$G$4</f>
        <v>350</v>
      </c>
      <c r="H17" s="88">
        <f>$G17*10/100</f>
        <v>35</v>
      </c>
      <c r="I17" s="46">
        <f>D17*(E17+F17+G17+H17)</f>
        <v>4690</v>
      </c>
      <c r="J17" s="152">
        <f t="shared" si="2"/>
        <v>4690</v>
      </c>
      <c r="K17" s="152">
        <f>K4*D17</f>
        <v>4305</v>
      </c>
      <c r="L17" s="77">
        <v>4110</v>
      </c>
      <c r="M17" s="47" t="s">
        <v>92</v>
      </c>
      <c r="N17" s="78">
        <f>-I17+L17</f>
        <v>-580</v>
      </c>
      <c r="O17" s="130">
        <f t="shared" si="3"/>
        <v>-195</v>
      </c>
      <c r="P17" s="96">
        <f>Y17+AD17</f>
        <v>4432</v>
      </c>
      <c r="Q17" s="89" t="s">
        <v>302</v>
      </c>
      <c r="R17" s="196">
        <f t="shared" si="0"/>
        <v>-258</v>
      </c>
      <c r="S17" s="50"/>
      <c r="T17" s="50" t="s">
        <v>24</v>
      </c>
      <c r="U17" s="49" t="s">
        <v>120</v>
      </c>
      <c r="V17" s="157" t="s">
        <v>227</v>
      </c>
      <c r="W17" s="157" t="s">
        <v>167</v>
      </c>
      <c r="X17" s="162">
        <v>50</v>
      </c>
      <c r="Y17" s="162">
        <f>V17+W17+X17</f>
        <v>4432</v>
      </c>
      <c r="Z17" s="249">
        <v>4429</v>
      </c>
      <c r="AA17" s="162">
        <f>Z17+AE17+AF17+AG17</f>
        <v>4438</v>
      </c>
      <c r="AB17" s="147">
        <f>Y17-J17</f>
        <v>-258</v>
      </c>
      <c r="AC17" s="147">
        <f>Y17-K17</f>
        <v>127</v>
      </c>
      <c r="AD17" s="147"/>
      <c r="AE17" s="147"/>
      <c r="AF17" s="147"/>
      <c r="AG17" s="202">
        <f>4+3+2</f>
        <v>9</v>
      </c>
      <c r="AH17" s="167">
        <f t="shared" si="1"/>
        <v>4441</v>
      </c>
      <c r="AI17" s="147">
        <f>AD17+AB17</f>
        <v>-258</v>
      </c>
      <c r="AJ17" s="250">
        <f>J17-AA17</f>
        <v>252</v>
      </c>
      <c r="AK17" s="236" t="s">
        <v>383</v>
      </c>
      <c r="AL17" s="243">
        <f t="shared" si="4"/>
        <v>-6</v>
      </c>
      <c r="AM17" s="247">
        <v>650</v>
      </c>
      <c r="AP17" s="191">
        <f>AM17+AM36+AK60</f>
        <v>1750</v>
      </c>
    </row>
    <row r="18" spans="1:39" ht="12.75">
      <c r="A18" s="74" t="s">
        <v>69</v>
      </c>
      <c r="B18" s="43" t="s">
        <v>71</v>
      </c>
      <c r="C18" s="59" t="s">
        <v>70</v>
      </c>
      <c r="D18" s="44">
        <v>1</v>
      </c>
      <c r="E18" s="45">
        <f>$E$4</f>
        <v>4100</v>
      </c>
      <c r="F18" s="45">
        <f>$E18*5/100</f>
        <v>205</v>
      </c>
      <c r="G18" s="86"/>
      <c r="H18" s="85"/>
      <c r="I18" s="46">
        <f>D18*(E18+F18+G18+H18)</f>
        <v>4305</v>
      </c>
      <c r="J18" s="152">
        <f t="shared" si="2"/>
        <v>4305</v>
      </c>
      <c r="K18" s="152">
        <f>K4*D18</f>
        <v>4305</v>
      </c>
      <c r="L18" s="77">
        <v>3800</v>
      </c>
      <c r="M18" s="47" t="s">
        <v>92</v>
      </c>
      <c r="N18" s="78">
        <f>-I18+L18</f>
        <v>-505</v>
      </c>
      <c r="O18" s="130">
        <f t="shared" si="3"/>
        <v>-505</v>
      </c>
      <c r="P18" s="96">
        <f>Y18+AD18</f>
        <v>3592</v>
      </c>
      <c r="Q18" s="89" t="s">
        <v>303</v>
      </c>
      <c r="R18" s="196">
        <f t="shared" si="0"/>
        <v>-713</v>
      </c>
      <c r="S18" s="50"/>
      <c r="T18" s="50" t="s">
        <v>24</v>
      </c>
      <c r="U18" s="49" t="s">
        <v>123</v>
      </c>
      <c r="V18" s="157" t="s">
        <v>227</v>
      </c>
      <c r="W18" s="157" t="s">
        <v>168</v>
      </c>
      <c r="X18" s="162">
        <v>10</v>
      </c>
      <c r="Y18" s="162">
        <f>V18+W18+X18</f>
        <v>3592</v>
      </c>
      <c r="Z18" s="249">
        <v>3590</v>
      </c>
      <c r="AA18" s="162">
        <f>Z18+AE18+AF18+AG18</f>
        <v>3590</v>
      </c>
      <c r="AB18" s="147">
        <f>Y18-J18</f>
        <v>-713</v>
      </c>
      <c r="AC18" s="147">
        <f>Y18-K18</f>
        <v>-713</v>
      </c>
      <c r="AD18" s="91">
        <v>0</v>
      </c>
      <c r="AE18" s="91"/>
      <c r="AF18" s="91"/>
      <c r="AG18" s="202"/>
      <c r="AH18" s="173">
        <f t="shared" si="1"/>
        <v>3592</v>
      </c>
      <c r="AI18" s="147">
        <f>AD18+AB18</f>
        <v>-713</v>
      </c>
      <c r="AJ18" s="88">
        <f>J18-AA18</f>
        <v>715</v>
      </c>
      <c r="AK18" s="235"/>
      <c r="AL18" s="243">
        <f t="shared" si="4"/>
        <v>2</v>
      </c>
      <c r="AM18" s="247">
        <v>800</v>
      </c>
    </row>
    <row r="19" spans="1:39" ht="12.75">
      <c r="A19" s="101" t="s">
        <v>22</v>
      </c>
      <c r="B19" s="63"/>
      <c r="C19" s="64"/>
      <c r="D19" s="65"/>
      <c r="E19" s="65"/>
      <c r="F19" s="102"/>
      <c r="G19" s="65"/>
      <c r="H19" s="102"/>
      <c r="I19" s="67"/>
      <c r="J19" s="67"/>
      <c r="K19" s="67"/>
      <c r="L19" s="67"/>
      <c r="M19" s="68"/>
      <c r="N19" s="67"/>
      <c r="O19" s="67">
        <f t="shared" si="3"/>
        <v>0</v>
      </c>
      <c r="P19" s="103"/>
      <c r="Q19" s="67"/>
      <c r="R19" s="103"/>
      <c r="S19" s="71"/>
      <c r="T19" s="71"/>
      <c r="U19" s="72"/>
      <c r="V19" s="72"/>
      <c r="W19" s="72"/>
      <c r="X19" s="70"/>
      <c r="Y19" s="70"/>
      <c r="Z19" s="70"/>
      <c r="AA19" s="70"/>
      <c r="AB19" s="67"/>
      <c r="AC19" s="67"/>
      <c r="AD19" s="67"/>
      <c r="AE19" s="67"/>
      <c r="AF19" s="67"/>
      <c r="AG19" s="67"/>
      <c r="AH19" s="104"/>
      <c r="AI19" s="67"/>
      <c r="AJ19" s="104" t="s">
        <v>272</v>
      </c>
      <c r="AK19" s="237"/>
      <c r="AL19" s="104"/>
      <c r="AM19" s="41"/>
    </row>
    <row r="20" spans="1:40" ht="12.75">
      <c r="A20" s="74" t="s">
        <v>77</v>
      </c>
      <c r="B20" s="43" t="s">
        <v>76</v>
      </c>
      <c r="C20" s="54"/>
      <c r="D20" s="44">
        <v>4</v>
      </c>
      <c r="E20" s="45">
        <f>$E$4</f>
        <v>4100</v>
      </c>
      <c r="F20" s="45">
        <v>410</v>
      </c>
      <c r="G20" s="86"/>
      <c r="H20" s="85"/>
      <c r="I20" s="46">
        <f>D20*(E20+F20+G20+H20)</f>
        <v>18040</v>
      </c>
      <c r="J20" s="152">
        <f>I20</f>
        <v>18040</v>
      </c>
      <c r="K20" s="152">
        <f>I20</f>
        <v>18040</v>
      </c>
      <c r="L20" s="77">
        <f>(3800*4)+200</f>
        <v>15400</v>
      </c>
      <c r="M20" s="47" t="s">
        <v>92</v>
      </c>
      <c r="N20" s="78">
        <f>-I20+L20-400</f>
        <v>-3040</v>
      </c>
      <c r="O20" s="130">
        <f>-K20+L20</f>
        <v>-2640</v>
      </c>
      <c r="P20" s="197">
        <f>Y20+2995+2000+AD20</f>
        <v>17039</v>
      </c>
      <c r="Q20" s="89" t="s">
        <v>255</v>
      </c>
      <c r="R20" s="171" t="e">
        <f>-K20+#REF!*D20</f>
        <v>#REF!</v>
      </c>
      <c r="S20" s="50"/>
      <c r="T20" s="50" t="s">
        <v>24</v>
      </c>
      <c r="U20" s="51"/>
      <c r="V20" s="157" t="s">
        <v>239</v>
      </c>
      <c r="W20" s="162">
        <f>230+3557+8245</f>
        <v>12032</v>
      </c>
      <c r="X20" s="162">
        <v>4</v>
      </c>
      <c r="Y20" s="162">
        <f>V20+W20+X20</f>
        <v>12044</v>
      </c>
      <c r="Z20" s="256">
        <v>14497</v>
      </c>
      <c r="AA20" s="162">
        <f>Z20+AF20+AG20</f>
        <v>14497</v>
      </c>
      <c r="AB20" s="198">
        <f>Y20-J20</f>
        <v>-5996</v>
      </c>
      <c r="AC20" s="198">
        <f>Y20-K20</f>
        <v>-5996</v>
      </c>
      <c r="AD20" s="91">
        <v>0</v>
      </c>
      <c r="AE20" s="91">
        <v>8245</v>
      </c>
      <c r="AF20" s="91"/>
      <c r="AG20" s="199">
        <f>AD20/D20</f>
        <v>0</v>
      </c>
      <c r="AH20" s="179">
        <v>3445</v>
      </c>
      <c r="AI20" s="147">
        <f>AD20+AB20</f>
        <v>-5996</v>
      </c>
      <c r="AJ20" s="179">
        <f>J20-AA20</f>
        <v>3543</v>
      </c>
      <c r="AK20" s="238"/>
      <c r="AL20" s="246">
        <f>AJ20+AI20</f>
        <v>-2453</v>
      </c>
      <c r="AM20" s="247"/>
      <c r="AN20">
        <f>AA20/(D20*400)</f>
        <v>9.060625</v>
      </c>
    </row>
    <row r="21" spans="1:40" ht="12.75">
      <c r="A21" s="74" t="s">
        <v>78</v>
      </c>
      <c r="B21" s="43" t="s">
        <v>76</v>
      </c>
      <c r="C21" s="83"/>
      <c r="D21" s="44">
        <v>2</v>
      </c>
      <c r="E21" s="45">
        <f>$E$4</f>
        <v>4100</v>
      </c>
      <c r="F21" s="45">
        <v>410</v>
      </c>
      <c r="G21" s="86"/>
      <c r="H21" s="85"/>
      <c r="I21" s="46">
        <f>D21*(E21+F21+G21+H21)</f>
        <v>9020</v>
      </c>
      <c r="J21" s="152">
        <f>I21</f>
        <v>9020</v>
      </c>
      <c r="K21" s="152">
        <f>I21</f>
        <v>9020</v>
      </c>
      <c r="L21" s="77">
        <f>(3800*2)+100</f>
        <v>7700</v>
      </c>
      <c r="M21" s="47" t="s">
        <v>92</v>
      </c>
      <c r="N21" s="78">
        <f>-I21+L21-200</f>
        <v>-1520</v>
      </c>
      <c r="O21" s="130">
        <f t="shared" si="3"/>
        <v>-1320</v>
      </c>
      <c r="P21" s="197">
        <f>Y21+1018+1144+AD21</f>
        <v>6639</v>
      </c>
      <c r="Q21" s="89" t="s">
        <v>256</v>
      </c>
      <c r="R21" s="171" t="e">
        <f>-K21+#REF!*D21</f>
        <v>#REF!</v>
      </c>
      <c r="S21" s="90"/>
      <c r="T21" s="50" t="s">
        <v>24</v>
      </c>
      <c r="U21" s="105"/>
      <c r="V21" s="157" t="s">
        <v>236</v>
      </c>
      <c r="W21" s="162">
        <f>2720+1501+252</f>
        <v>4473</v>
      </c>
      <c r="X21" s="162">
        <v>0</v>
      </c>
      <c r="Y21" s="162">
        <f>V21+W21+X21</f>
        <v>4477</v>
      </c>
      <c r="Z21" s="256">
        <v>7207</v>
      </c>
      <c r="AA21" s="162">
        <f>Z21+AF21+AG21</f>
        <v>7207</v>
      </c>
      <c r="AB21" s="198">
        <f>Y21-J21</f>
        <v>-4543</v>
      </c>
      <c r="AC21" s="198">
        <f>Y21-K21</f>
        <v>-4543</v>
      </c>
      <c r="AD21" s="91">
        <v>0</v>
      </c>
      <c r="AE21" s="91">
        <v>2720</v>
      </c>
      <c r="AF21" s="91"/>
      <c r="AG21" s="199">
        <f>AD21/D21</f>
        <v>0</v>
      </c>
      <c r="AH21" s="179">
        <v>2611</v>
      </c>
      <c r="AI21" s="147">
        <f>AD21+AB21</f>
        <v>-4543</v>
      </c>
      <c r="AJ21" s="179">
        <f>J21-AA21</f>
        <v>1813</v>
      </c>
      <c r="AK21" s="238"/>
      <c r="AL21" s="246">
        <f t="shared" si="4"/>
        <v>-2730</v>
      </c>
      <c r="AM21" s="247"/>
      <c r="AN21">
        <f>AA21/(D21*400)</f>
        <v>9.00875</v>
      </c>
    </row>
    <row r="22" spans="1:39" ht="12.75">
      <c r="A22" s="101" t="s">
        <v>63</v>
      </c>
      <c r="B22" s="63"/>
      <c r="C22" s="64"/>
      <c r="D22" s="65"/>
      <c r="E22" s="65"/>
      <c r="F22" s="65"/>
      <c r="G22" s="65"/>
      <c r="H22" s="66"/>
      <c r="I22" s="67"/>
      <c r="J22" s="67"/>
      <c r="K22" s="67"/>
      <c r="L22" s="68"/>
      <c r="M22" s="68"/>
      <c r="N22" s="67"/>
      <c r="O22" s="67">
        <f t="shared" si="3"/>
        <v>0</v>
      </c>
      <c r="P22" s="103"/>
      <c r="Q22" s="67"/>
      <c r="R22" s="103"/>
      <c r="S22" s="71"/>
      <c r="T22" s="71"/>
      <c r="U22" s="72"/>
      <c r="V22" s="72"/>
      <c r="W22" s="72"/>
      <c r="X22" s="70"/>
      <c r="Y22" s="70"/>
      <c r="Z22" s="70"/>
      <c r="AA22" s="70"/>
      <c r="AB22" s="67"/>
      <c r="AC22" s="67"/>
      <c r="AD22" s="67"/>
      <c r="AE22" s="67"/>
      <c r="AF22" s="67"/>
      <c r="AG22" s="67"/>
      <c r="AH22" s="104"/>
      <c r="AI22" s="67"/>
      <c r="AJ22" s="104" t="s">
        <v>272</v>
      </c>
      <c r="AK22" s="237"/>
      <c r="AL22" s="104"/>
      <c r="AM22" s="41"/>
    </row>
    <row r="23" spans="1:39" ht="12.75">
      <c r="A23" s="81" t="s">
        <v>65</v>
      </c>
      <c r="B23" s="59" t="s">
        <v>64</v>
      </c>
      <c r="C23" s="59" t="s">
        <v>62</v>
      </c>
      <c r="D23" s="44">
        <v>1</v>
      </c>
      <c r="E23" s="45">
        <v>50</v>
      </c>
      <c r="F23" s="85"/>
      <c r="G23" s="86"/>
      <c r="H23" s="85"/>
      <c r="I23" s="46">
        <f>D23*(E23+F23+G23+H23)</f>
        <v>50</v>
      </c>
      <c r="J23" s="87"/>
      <c r="K23" s="87"/>
      <c r="L23" s="77">
        <v>50</v>
      </c>
      <c r="M23" s="47" t="s">
        <v>92</v>
      </c>
      <c r="N23" s="130">
        <f>-I23+L23</f>
        <v>0</v>
      </c>
      <c r="O23" s="130">
        <f t="shared" si="3"/>
        <v>50</v>
      </c>
      <c r="P23" s="47">
        <v>50</v>
      </c>
      <c r="Q23" s="51"/>
      <c r="R23" s="79">
        <f t="shared" si="0"/>
        <v>0</v>
      </c>
      <c r="S23" s="140" t="s">
        <v>31</v>
      </c>
      <c r="T23" s="50"/>
      <c r="U23" s="89" t="s">
        <v>41</v>
      </c>
      <c r="V23" s="89"/>
      <c r="W23" s="89"/>
      <c r="X23" s="162">
        <v>5</v>
      </c>
      <c r="Y23" s="162">
        <f>V23+W23+X23</f>
        <v>5</v>
      </c>
      <c r="Z23" s="162"/>
      <c r="AA23" s="162"/>
      <c r="AB23" s="80"/>
      <c r="AC23" s="80"/>
      <c r="AD23" s="80"/>
      <c r="AE23" s="80"/>
      <c r="AF23" s="80"/>
      <c r="AG23" s="80"/>
      <c r="AH23" s="52"/>
      <c r="AI23" s="80"/>
      <c r="AJ23" s="52">
        <f>J23-AH23</f>
        <v>0</v>
      </c>
      <c r="AK23" s="233"/>
      <c r="AL23" s="243"/>
      <c r="AM23" s="41"/>
    </row>
    <row r="24" spans="1:39" ht="12.75">
      <c r="A24" s="81" t="s">
        <v>241</v>
      </c>
      <c r="B24" s="59"/>
      <c r="C24" s="59"/>
      <c r="D24" s="44"/>
      <c r="E24" s="45"/>
      <c r="F24" s="85"/>
      <c r="G24" s="86"/>
      <c r="H24" s="85"/>
      <c r="I24" s="46"/>
      <c r="J24" s="153" t="s">
        <v>230</v>
      </c>
      <c r="K24" s="153" t="s">
        <v>230</v>
      </c>
      <c r="L24" s="77"/>
      <c r="M24" s="47"/>
      <c r="N24" s="130"/>
      <c r="O24" s="130" t="e">
        <f t="shared" si="3"/>
        <v>#VALUE!</v>
      </c>
      <c r="P24" s="47"/>
      <c r="Q24" s="51"/>
      <c r="R24" s="79"/>
      <c r="S24" s="140"/>
      <c r="T24" s="50"/>
      <c r="U24" s="89"/>
      <c r="V24" s="89"/>
      <c r="W24" s="89" t="s">
        <v>244</v>
      </c>
      <c r="X24" s="88"/>
      <c r="Y24" s="88"/>
      <c r="Z24" s="88"/>
      <c r="AA24" s="88"/>
      <c r="AB24" s="80"/>
      <c r="AC24" s="80"/>
      <c r="AD24" s="80"/>
      <c r="AE24" s="80"/>
      <c r="AF24" s="80"/>
      <c r="AG24" s="80"/>
      <c r="AH24" s="52"/>
      <c r="AI24" s="80"/>
      <c r="AJ24" s="52"/>
      <c r="AK24" s="233"/>
      <c r="AL24" s="243"/>
      <c r="AM24" s="41"/>
    </row>
    <row r="25" spans="1:39" ht="12.75">
      <c r="A25" s="106" t="s">
        <v>114</v>
      </c>
      <c r="B25" s="59" t="s">
        <v>66</v>
      </c>
      <c r="C25" s="59"/>
      <c r="D25" s="44">
        <v>1</v>
      </c>
      <c r="E25" s="45">
        <v>500</v>
      </c>
      <c r="F25" s="85"/>
      <c r="G25" s="86"/>
      <c r="H25" s="85"/>
      <c r="I25" s="46">
        <f>D25*(E25+F25+G25+H25)</f>
        <v>500</v>
      </c>
      <c r="J25" s="153">
        <v>480</v>
      </c>
      <c r="K25" s="153">
        <v>480</v>
      </c>
      <c r="L25" s="77">
        <v>500</v>
      </c>
      <c r="M25" s="47" t="s">
        <v>92</v>
      </c>
      <c r="N25" s="130">
        <f>-I25+L25</f>
        <v>0</v>
      </c>
      <c r="O25" s="130">
        <f t="shared" si="3"/>
        <v>20</v>
      </c>
      <c r="P25" s="47">
        <f>Y25+AD25</f>
        <v>447</v>
      </c>
      <c r="Q25" s="51"/>
      <c r="R25" s="79">
        <f t="shared" si="0"/>
        <v>-53</v>
      </c>
      <c r="S25" s="50"/>
      <c r="T25" s="50" t="s">
        <v>24</v>
      </c>
      <c r="U25" s="51"/>
      <c r="V25" s="157"/>
      <c r="W25" s="157" t="s">
        <v>363</v>
      </c>
      <c r="X25" s="88"/>
      <c r="Y25" s="162">
        <f>V25+W25+X25</f>
        <v>347</v>
      </c>
      <c r="Z25" s="259">
        <v>281</v>
      </c>
      <c r="AA25" s="162">
        <f>Z25+AE25+AF25+AG25</f>
        <v>581</v>
      </c>
      <c r="AB25" s="198">
        <f>Y25-J25</f>
        <v>-133</v>
      </c>
      <c r="AC25" s="198">
        <f>Y25-K25</f>
        <v>-133</v>
      </c>
      <c r="AD25" s="260">
        <v>100</v>
      </c>
      <c r="AE25" s="91">
        <v>250</v>
      </c>
      <c r="AF25" s="91">
        <v>50</v>
      </c>
      <c r="AG25" s="91">
        <v>0</v>
      </c>
      <c r="AH25" s="88">
        <f>Y25/D25+AG25</f>
        <v>347</v>
      </c>
      <c r="AI25" s="91"/>
      <c r="AJ25" s="96">
        <f>J25-AA25</f>
        <v>-101</v>
      </c>
      <c r="AK25" s="239"/>
      <c r="AL25" s="243">
        <f t="shared" si="4"/>
        <v>-101</v>
      </c>
      <c r="AM25" s="41"/>
    </row>
    <row r="26" spans="1:39" ht="12.75">
      <c r="A26" s="101" t="s">
        <v>15</v>
      </c>
      <c r="B26" s="63"/>
      <c r="C26" s="64"/>
      <c r="D26" s="65"/>
      <c r="E26" s="65"/>
      <c r="F26" s="66"/>
      <c r="G26" s="66"/>
      <c r="H26" s="102"/>
      <c r="I26" s="67"/>
      <c r="J26" s="67"/>
      <c r="K26" s="67"/>
      <c r="L26" s="68"/>
      <c r="M26" s="68"/>
      <c r="N26" s="67"/>
      <c r="O26" s="67">
        <f t="shared" si="3"/>
        <v>0</v>
      </c>
      <c r="P26" s="103"/>
      <c r="Q26" s="67"/>
      <c r="R26" s="103"/>
      <c r="S26" s="71"/>
      <c r="T26" s="71"/>
      <c r="U26" s="72"/>
      <c r="V26" s="72"/>
      <c r="W26" s="72"/>
      <c r="X26" s="70"/>
      <c r="Y26" s="70"/>
      <c r="Z26" s="70"/>
      <c r="AA26" s="70"/>
      <c r="AB26" s="67"/>
      <c r="AC26" s="67"/>
      <c r="AD26" s="67"/>
      <c r="AE26" s="67"/>
      <c r="AF26" s="67"/>
      <c r="AG26" s="67"/>
      <c r="AH26" s="104"/>
      <c r="AI26" s="67"/>
      <c r="AJ26" s="104" t="s">
        <v>272</v>
      </c>
      <c r="AK26" s="237"/>
      <c r="AL26" s="104"/>
      <c r="AM26" s="41"/>
    </row>
    <row r="27" spans="1:39" ht="12.75">
      <c r="A27" s="74" t="s">
        <v>48</v>
      </c>
      <c r="B27" s="43" t="s">
        <v>23</v>
      </c>
      <c r="C27" s="43" t="s">
        <v>49</v>
      </c>
      <c r="D27" s="44">
        <v>1</v>
      </c>
      <c r="E27" s="45">
        <f aca="true" t="shared" si="5" ref="E27:E32">$E$4</f>
        <v>4100</v>
      </c>
      <c r="F27" s="45">
        <f aca="true" t="shared" si="6" ref="F27:F32">$E27*5/100</f>
        <v>205</v>
      </c>
      <c r="G27" s="86"/>
      <c r="H27" s="88"/>
      <c r="I27" s="46">
        <f aca="true" t="shared" si="7" ref="I27:I32">D27*(E27+F27+G27+H27)</f>
        <v>4305</v>
      </c>
      <c r="J27" s="152">
        <f aca="true" t="shared" si="8" ref="J27:J32">I27</f>
        <v>4305</v>
      </c>
      <c r="K27" s="152">
        <f>K4*D27</f>
        <v>4305</v>
      </c>
      <c r="L27" s="77">
        <v>3850</v>
      </c>
      <c r="M27" s="47" t="s">
        <v>94</v>
      </c>
      <c r="N27" s="78">
        <f aca="true" t="shared" si="9" ref="N27:N32">-I27+L27</f>
        <v>-455</v>
      </c>
      <c r="O27" s="130">
        <f t="shared" si="3"/>
        <v>-455</v>
      </c>
      <c r="P27" s="96">
        <f aca="true" t="shared" si="10" ref="P27:P32">Y27</f>
        <v>3784</v>
      </c>
      <c r="Q27" s="51" t="s">
        <v>169</v>
      </c>
      <c r="R27" s="196">
        <f t="shared" si="0"/>
        <v>-521</v>
      </c>
      <c r="S27" s="140" t="s">
        <v>31</v>
      </c>
      <c r="T27" s="50" t="s">
        <v>24</v>
      </c>
      <c r="U27" s="51" t="s">
        <v>120</v>
      </c>
      <c r="V27" s="157" t="s">
        <v>236</v>
      </c>
      <c r="W27" s="157" t="s">
        <v>169</v>
      </c>
      <c r="X27" s="162">
        <v>0</v>
      </c>
      <c r="Y27" s="162">
        <f aca="true" t="shared" si="11" ref="Y27:Y32">V27+W27+X27</f>
        <v>3784</v>
      </c>
      <c r="Z27" s="249">
        <v>3780</v>
      </c>
      <c r="AA27" s="162">
        <f aca="true" t="shared" si="12" ref="AA27:AA32">Z27+AE27+AF27+AG27</f>
        <v>3780</v>
      </c>
      <c r="AB27" s="147">
        <f aca="true" t="shared" si="13" ref="AB27:AB32">Y27-J27</f>
        <v>-521</v>
      </c>
      <c r="AC27" s="147">
        <f aca="true" t="shared" si="14" ref="AC27:AC32">Y27-K27</f>
        <v>-521</v>
      </c>
      <c r="AD27" s="91"/>
      <c r="AE27" s="91"/>
      <c r="AF27" s="91"/>
      <c r="AG27" s="91">
        <f>AD27</f>
        <v>0</v>
      </c>
      <c r="AH27" s="167">
        <f aca="true" t="shared" si="15" ref="AH27:AH32">Y27/D27</f>
        <v>3784</v>
      </c>
      <c r="AI27" s="147">
        <f aca="true" t="shared" si="16" ref="AI27:AI32">AD27+AB27</f>
        <v>-521</v>
      </c>
      <c r="AJ27" s="167">
        <f aca="true" t="shared" si="17" ref="AJ27:AJ32">J27-AA27</f>
        <v>525</v>
      </c>
      <c r="AK27" s="236"/>
      <c r="AL27" s="243">
        <f t="shared" si="4"/>
        <v>4</v>
      </c>
      <c r="AM27" s="41"/>
    </row>
    <row r="28" spans="1:39" ht="12.75">
      <c r="A28" s="74" t="s">
        <v>50</v>
      </c>
      <c r="B28" s="43" t="s">
        <v>5</v>
      </c>
      <c r="C28" s="75" t="s">
        <v>33</v>
      </c>
      <c r="D28" s="76">
        <v>2</v>
      </c>
      <c r="E28" s="45">
        <f t="shared" si="5"/>
        <v>4100</v>
      </c>
      <c r="F28" s="45">
        <f t="shared" si="6"/>
        <v>205</v>
      </c>
      <c r="G28" s="86"/>
      <c r="H28" s="88"/>
      <c r="I28" s="46">
        <f t="shared" si="7"/>
        <v>8610</v>
      </c>
      <c r="J28" s="152">
        <f t="shared" si="8"/>
        <v>8610</v>
      </c>
      <c r="K28" s="152">
        <f>K4*D28</f>
        <v>8610</v>
      </c>
      <c r="L28" s="46">
        <v>8220</v>
      </c>
      <c r="M28" s="47" t="s">
        <v>91</v>
      </c>
      <c r="N28" s="78">
        <f t="shared" si="9"/>
        <v>-390</v>
      </c>
      <c r="O28" s="130">
        <f t="shared" si="3"/>
        <v>-390</v>
      </c>
      <c r="P28" s="96">
        <f>Y28+AD28</f>
        <v>11551</v>
      </c>
      <c r="Q28" s="89" t="s">
        <v>304</v>
      </c>
      <c r="R28" s="196">
        <f t="shared" si="0"/>
        <v>2941</v>
      </c>
      <c r="S28" s="50" t="s">
        <v>105</v>
      </c>
      <c r="T28" s="50" t="s">
        <v>105</v>
      </c>
      <c r="U28" s="51"/>
      <c r="V28" s="157" t="s">
        <v>243</v>
      </c>
      <c r="W28" s="162">
        <f>982+9250+1200</f>
        <v>11432</v>
      </c>
      <c r="X28" s="162">
        <v>0</v>
      </c>
      <c r="Y28" s="162">
        <f t="shared" si="11"/>
        <v>11551</v>
      </c>
      <c r="Z28" s="249">
        <v>8128</v>
      </c>
      <c r="AA28" s="162">
        <f t="shared" si="12"/>
        <v>11762</v>
      </c>
      <c r="AB28" s="147">
        <f t="shared" si="13"/>
        <v>2941</v>
      </c>
      <c r="AC28" s="147">
        <f t="shared" si="14"/>
        <v>2941</v>
      </c>
      <c r="AD28" s="91"/>
      <c r="AE28" s="91">
        <v>3565</v>
      </c>
      <c r="AF28" s="91"/>
      <c r="AG28" s="91">
        <f>69</f>
        <v>69</v>
      </c>
      <c r="AH28" s="167">
        <f>Y28/D28+AG28</f>
        <v>5844.5</v>
      </c>
      <c r="AI28" s="147">
        <f t="shared" si="16"/>
        <v>2941</v>
      </c>
      <c r="AJ28" s="167">
        <f t="shared" si="17"/>
        <v>-3152</v>
      </c>
      <c r="AK28" s="236"/>
      <c r="AL28" s="246">
        <f t="shared" si="4"/>
        <v>-211</v>
      </c>
      <c r="AM28" s="41"/>
    </row>
    <row r="29" spans="1:39" ht="12.75">
      <c r="A29" s="74" t="s">
        <v>51</v>
      </c>
      <c r="B29" s="43" t="s">
        <v>53</v>
      </c>
      <c r="C29" s="43" t="s">
        <v>110</v>
      </c>
      <c r="D29" s="44">
        <v>2</v>
      </c>
      <c r="E29" s="45">
        <f t="shared" si="5"/>
        <v>4100</v>
      </c>
      <c r="F29" s="45">
        <f t="shared" si="6"/>
        <v>205</v>
      </c>
      <c r="G29" s="86">
        <f>$G$4</f>
        <v>350</v>
      </c>
      <c r="H29" s="88">
        <f>$G29*10/100</f>
        <v>35</v>
      </c>
      <c r="I29" s="46">
        <f t="shared" si="7"/>
        <v>9380</v>
      </c>
      <c r="J29" s="152">
        <f t="shared" si="8"/>
        <v>9380</v>
      </c>
      <c r="K29" s="152">
        <f>K4*D29</f>
        <v>8610</v>
      </c>
      <c r="L29" s="77">
        <v>8400</v>
      </c>
      <c r="M29" s="47" t="s">
        <v>94</v>
      </c>
      <c r="N29" s="78">
        <f t="shared" si="9"/>
        <v>-980</v>
      </c>
      <c r="O29" s="130">
        <f t="shared" si="3"/>
        <v>-210</v>
      </c>
      <c r="P29" s="96">
        <f t="shared" si="10"/>
        <v>8305</v>
      </c>
      <c r="Q29" s="51" t="s">
        <v>170</v>
      </c>
      <c r="R29" s="196">
        <f t="shared" si="0"/>
        <v>-1075</v>
      </c>
      <c r="S29" s="140" t="s">
        <v>31</v>
      </c>
      <c r="T29" s="50" t="s">
        <v>24</v>
      </c>
      <c r="U29" s="51" t="s">
        <v>120</v>
      </c>
      <c r="V29" s="157" t="s">
        <v>237</v>
      </c>
      <c r="W29" s="157" t="s">
        <v>170</v>
      </c>
      <c r="X29" s="162">
        <v>0</v>
      </c>
      <c r="Y29" s="162">
        <f t="shared" si="11"/>
        <v>8305</v>
      </c>
      <c r="Z29" s="249">
        <v>8300</v>
      </c>
      <c r="AA29" s="162">
        <f t="shared" si="12"/>
        <v>9300</v>
      </c>
      <c r="AB29" s="147">
        <f t="shared" si="13"/>
        <v>-1075</v>
      </c>
      <c r="AC29" s="147">
        <f t="shared" si="14"/>
        <v>-305</v>
      </c>
      <c r="AD29" s="260">
        <v>1000</v>
      </c>
      <c r="AE29" s="91"/>
      <c r="AF29" s="91"/>
      <c r="AG29" s="91">
        <f>AD29</f>
        <v>1000</v>
      </c>
      <c r="AH29" s="167">
        <f t="shared" si="15"/>
        <v>4152.5</v>
      </c>
      <c r="AI29" s="147">
        <f t="shared" si="16"/>
        <v>-75</v>
      </c>
      <c r="AJ29" s="167">
        <f t="shared" si="17"/>
        <v>80</v>
      </c>
      <c r="AK29" s="236"/>
      <c r="AL29" s="243">
        <f t="shared" si="4"/>
        <v>5</v>
      </c>
      <c r="AM29" s="41"/>
    </row>
    <row r="30" spans="1:39" ht="12.75">
      <c r="A30" s="107" t="s">
        <v>97</v>
      </c>
      <c r="B30" s="43" t="s">
        <v>52</v>
      </c>
      <c r="C30" s="43" t="s">
        <v>107</v>
      </c>
      <c r="D30" s="44">
        <v>4</v>
      </c>
      <c r="E30" s="45">
        <f t="shared" si="5"/>
        <v>4100</v>
      </c>
      <c r="F30" s="45">
        <f>$E30*30/100</f>
        <v>1230</v>
      </c>
      <c r="G30" s="86">
        <f>$G$4</f>
        <v>350</v>
      </c>
      <c r="H30" s="88">
        <f>$G30*30/100</f>
        <v>105</v>
      </c>
      <c r="I30" s="46">
        <f t="shared" si="7"/>
        <v>23140</v>
      </c>
      <c r="J30" s="152">
        <f t="shared" si="8"/>
        <v>23140</v>
      </c>
      <c r="K30" s="152">
        <f>K4*D30</f>
        <v>17220</v>
      </c>
      <c r="L30" s="77">
        <v>16600</v>
      </c>
      <c r="M30" s="47" t="s">
        <v>94</v>
      </c>
      <c r="N30" s="78">
        <f t="shared" si="9"/>
        <v>-6540</v>
      </c>
      <c r="O30" s="130">
        <f t="shared" si="3"/>
        <v>-620</v>
      </c>
      <c r="P30" s="96">
        <f t="shared" si="10"/>
        <v>16406</v>
      </c>
      <c r="Q30" s="51" t="s">
        <v>171</v>
      </c>
      <c r="R30" s="196">
        <f t="shared" si="0"/>
        <v>-6734</v>
      </c>
      <c r="S30" s="140" t="s">
        <v>31</v>
      </c>
      <c r="T30" s="50" t="s">
        <v>24</v>
      </c>
      <c r="U30" s="51" t="s">
        <v>119</v>
      </c>
      <c r="V30" s="157" t="s">
        <v>238</v>
      </c>
      <c r="W30" s="157" t="s">
        <v>171</v>
      </c>
      <c r="X30" s="162">
        <v>0</v>
      </c>
      <c r="Y30" s="162">
        <f t="shared" si="11"/>
        <v>16406</v>
      </c>
      <c r="Z30" s="249">
        <v>16400</v>
      </c>
      <c r="AA30" s="162">
        <f t="shared" si="12"/>
        <v>16400</v>
      </c>
      <c r="AB30" s="147">
        <f t="shared" si="13"/>
        <v>-6734</v>
      </c>
      <c r="AC30" s="147">
        <f t="shared" si="14"/>
        <v>-814</v>
      </c>
      <c r="AD30" s="91"/>
      <c r="AE30" s="91"/>
      <c r="AF30" s="91"/>
      <c r="AG30" s="91">
        <f>AD30</f>
        <v>0</v>
      </c>
      <c r="AH30" s="167">
        <f t="shared" si="15"/>
        <v>4101.5</v>
      </c>
      <c r="AI30" s="147">
        <f t="shared" si="16"/>
        <v>-6734</v>
      </c>
      <c r="AJ30" s="167">
        <f t="shared" si="17"/>
        <v>6740</v>
      </c>
      <c r="AK30" s="236"/>
      <c r="AL30" s="243">
        <f t="shared" si="4"/>
        <v>6</v>
      </c>
      <c r="AM30" s="41"/>
    </row>
    <row r="31" spans="1:39" ht="12.75">
      <c r="A31" s="74" t="s">
        <v>55</v>
      </c>
      <c r="B31" s="43" t="s">
        <v>54</v>
      </c>
      <c r="C31" s="43" t="s">
        <v>111</v>
      </c>
      <c r="D31" s="44">
        <v>18</v>
      </c>
      <c r="E31" s="45">
        <f t="shared" si="5"/>
        <v>4100</v>
      </c>
      <c r="F31" s="45">
        <f t="shared" si="6"/>
        <v>205</v>
      </c>
      <c r="G31" s="86">
        <f>$G$4</f>
        <v>350</v>
      </c>
      <c r="H31" s="88">
        <f>$G31*10/100</f>
        <v>35</v>
      </c>
      <c r="I31" s="46">
        <f t="shared" si="7"/>
        <v>84420</v>
      </c>
      <c r="J31" s="152">
        <f t="shared" si="8"/>
        <v>84420</v>
      </c>
      <c r="K31" s="152">
        <f>K4*D31</f>
        <v>77490</v>
      </c>
      <c r="L31" s="77">
        <v>75000</v>
      </c>
      <c r="M31" s="47" t="s">
        <v>94</v>
      </c>
      <c r="N31" s="78">
        <f t="shared" si="9"/>
        <v>-9420</v>
      </c>
      <c r="O31" s="130">
        <f t="shared" si="3"/>
        <v>-2490</v>
      </c>
      <c r="P31" s="96">
        <f t="shared" si="10"/>
        <v>73140</v>
      </c>
      <c r="Q31" s="51" t="s">
        <v>307</v>
      </c>
      <c r="R31" s="196">
        <f t="shared" si="0"/>
        <v>-11280</v>
      </c>
      <c r="S31" s="50"/>
      <c r="T31" s="50"/>
      <c r="U31" s="51" t="s">
        <v>120</v>
      </c>
      <c r="V31" s="157" t="s">
        <v>235</v>
      </c>
      <c r="W31" s="157" t="s">
        <v>172</v>
      </c>
      <c r="X31" s="162">
        <v>0</v>
      </c>
      <c r="Y31" s="162">
        <f t="shared" si="11"/>
        <v>73140</v>
      </c>
      <c r="Z31" s="249">
        <v>73100</v>
      </c>
      <c r="AA31" s="162">
        <f t="shared" si="12"/>
        <v>73100</v>
      </c>
      <c r="AB31" s="147">
        <f t="shared" si="13"/>
        <v>-11280</v>
      </c>
      <c r="AC31" s="147">
        <f t="shared" si="14"/>
        <v>-4350</v>
      </c>
      <c r="AD31" s="91"/>
      <c r="AE31" s="91"/>
      <c r="AF31" s="91"/>
      <c r="AG31" s="91">
        <f>AD31</f>
        <v>0</v>
      </c>
      <c r="AH31" s="167">
        <f t="shared" si="15"/>
        <v>4063.3333333333335</v>
      </c>
      <c r="AI31" s="147">
        <f t="shared" si="16"/>
        <v>-11280</v>
      </c>
      <c r="AJ31" s="167">
        <f t="shared" si="17"/>
        <v>11320</v>
      </c>
      <c r="AK31" s="236"/>
      <c r="AL31" s="246">
        <f t="shared" si="4"/>
        <v>40</v>
      </c>
      <c r="AM31" s="41"/>
    </row>
    <row r="32" spans="1:98" s="142" customFormat="1" ht="12.75">
      <c r="A32" s="109" t="s">
        <v>37</v>
      </c>
      <c r="B32" s="108"/>
      <c r="C32" s="108" t="s">
        <v>125</v>
      </c>
      <c r="D32" s="44">
        <v>6</v>
      </c>
      <c r="E32" s="45">
        <f t="shared" si="5"/>
        <v>4100</v>
      </c>
      <c r="F32" s="45">
        <f t="shared" si="6"/>
        <v>205</v>
      </c>
      <c r="G32" s="86">
        <f>$G$4</f>
        <v>350</v>
      </c>
      <c r="H32" s="88">
        <f>$G32*10/100</f>
        <v>35</v>
      </c>
      <c r="I32" s="46">
        <f t="shared" si="7"/>
        <v>28140</v>
      </c>
      <c r="J32" s="152">
        <f t="shared" si="8"/>
        <v>28140</v>
      </c>
      <c r="K32" s="152">
        <f>K4*D32</f>
        <v>25830</v>
      </c>
      <c r="L32" s="194" t="s">
        <v>229</v>
      </c>
      <c r="M32" s="47" t="s">
        <v>94</v>
      </c>
      <c r="N32" s="78">
        <f t="shared" si="9"/>
        <v>17460</v>
      </c>
      <c r="O32" s="130">
        <f t="shared" si="3"/>
        <v>19770</v>
      </c>
      <c r="P32" s="96">
        <f t="shared" si="10"/>
        <v>45640</v>
      </c>
      <c r="Q32" s="89" t="s">
        <v>229</v>
      </c>
      <c r="R32" s="196">
        <f t="shared" si="0"/>
        <v>17500</v>
      </c>
      <c r="S32" s="141"/>
      <c r="T32" s="141" t="s">
        <v>24</v>
      </c>
      <c r="U32" s="49" t="s">
        <v>121</v>
      </c>
      <c r="V32" s="157" t="s">
        <v>235</v>
      </c>
      <c r="W32" s="157" t="s">
        <v>229</v>
      </c>
      <c r="X32" s="162">
        <v>0</v>
      </c>
      <c r="Y32" s="162">
        <f t="shared" si="11"/>
        <v>45640</v>
      </c>
      <c r="Z32" s="249">
        <v>45600</v>
      </c>
      <c r="AA32" s="162">
        <f t="shared" si="12"/>
        <v>47600</v>
      </c>
      <c r="AB32" s="147">
        <f t="shared" si="13"/>
        <v>17500</v>
      </c>
      <c r="AC32" s="147">
        <f t="shared" si="14"/>
        <v>19810</v>
      </c>
      <c r="AD32" s="260">
        <v>2000</v>
      </c>
      <c r="AE32" s="91"/>
      <c r="AF32" s="91"/>
      <c r="AG32" s="91">
        <f>AD32</f>
        <v>2000</v>
      </c>
      <c r="AH32" s="179">
        <f t="shared" si="15"/>
        <v>7606.666666666667</v>
      </c>
      <c r="AI32" s="147">
        <f t="shared" si="16"/>
        <v>19500</v>
      </c>
      <c r="AJ32" s="167">
        <f t="shared" si="17"/>
        <v>-19460</v>
      </c>
      <c r="AK32" s="238"/>
      <c r="AL32" s="243">
        <f t="shared" si="4"/>
        <v>40</v>
      </c>
      <c r="AM32" s="41"/>
      <c r="AN32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</row>
    <row r="33" spans="1:39" ht="12.75">
      <c r="A33" s="101" t="s">
        <v>115</v>
      </c>
      <c r="B33" s="63"/>
      <c r="C33" s="64"/>
      <c r="D33" s="65"/>
      <c r="E33" s="65"/>
      <c r="F33" s="102"/>
      <c r="G33" s="65"/>
      <c r="H33" s="102"/>
      <c r="I33" s="67"/>
      <c r="J33" s="67"/>
      <c r="K33" s="67"/>
      <c r="L33" s="67"/>
      <c r="M33" s="68"/>
      <c r="N33" s="67"/>
      <c r="O33" s="67"/>
      <c r="P33" s="103"/>
      <c r="Q33" s="67"/>
      <c r="R33" s="103"/>
      <c r="S33" s="71"/>
      <c r="T33" s="71"/>
      <c r="U33" s="72"/>
      <c r="V33" s="72"/>
      <c r="W33" s="72"/>
      <c r="X33" s="70"/>
      <c r="Y33" s="70"/>
      <c r="Z33" s="70"/>
      <c r="AA33" s="70"/>
      <c r="AB33" s="67"/>
      <c r="AC33" s="67"/>
      <c r="AD33" s="67"/>
      <c r="AE33" s="67"/>
      <c r="AF33" s="67"/>
      <c r="AG33" s="67"/>
      <c r="AH33" s="104"/>
      <c r="AI33" s="67"/>
      <c r="AJ33" s="104" t="s">
        <v>272</v>
      </c>
      <c r="AK33" s="237"/>
      <c r="AL33" s="104"/>
      <c r="AM33" s="41"/>
    </row>
    <row r="34" spans="1:39" ht="12.75">
      <c r="A34" s="99" t="s">
        <v>116</v>
      </c>
      <c r="B34" s="83"/>
      <c r="C34" s="83"/>
      <c r="D34" s="44">
        <v>1</v>
      </c>
      <c r="E34" s="45">
        <v>3620</v>
      </c>
      <c r="F34" s="45">
        <f>$E34*0.5/100</f>
        <v>18.1</v>
      </c>
      <c r="G34" s="86">
        <f>$G$4</f>
        <v>350</v>
      </c>
      <c r="H34" s="88">
        <f>$G34*10/100</f>
        <v>35</v>
      </c>
      <c r="I34" s="46">
        <f>D34*(E34+F34+G34+H34)</f>
        <v>4023.1</v>
      </c>
      <c r="J34" s="87"/>
      <c r="K34" s="87"/>
      <c r="L34" s="77">
        <v>0</v>
      </c>
      <c r="M34" s="47" t="s">
        <v>92</v>
      </c>
      <c r="N34" s="78">
        <f>-I34+L34</f>
        <v>-4023.1</v>
      </c>
      <c r="O34" s="78"/>
      <c r="P34" s="88"/>
      <c r="Q34" s="89"/>
      <c r="R34" s="79">
        <f t="shared" si="0"/>
        <v>-4023.1</v>
      </c>
      <c r="S34" s="90"/>
      <c r="T34" s="90"/>
      <c r="U34" s="89"/>
      <c r="V34" s="89"/>
      <c r="W34" s="89"/>
      <c r="X34" s="88"/>
      <c r="Y34" s="88"/>
      <c r="Z34" s="88"/>
      <c r="AA34" s="88"/>
      <c r="AB34" s="91"/>
      <c r="AC34" s="91"/>
      <c r="AD34" s="91"/>
      <c r="AE34" s="91"/>
      <c r="AF34" s="91"/>
      <c r="AG34" s="91"/>
      <c r="AH34" s="88"/>
      <c r="AI34" s="91"/>
      <c r="AJ34" s="88"/>
      <c r="AK34" s="232"/>
      <c r="AL34" s="243"/>
      <c r="AM34" s="41"/>
    </row>
    <row r="35" spans="1:39" ht="12.75">
      <c r="A35" s="101" t="s">
        <v>25</v>
      </c>
      <c r="B35" s="115"/>
      <c r="C35" s="115"/>
      <c r="D35" s="116"/>
      <c r="E35" s="116"/>
      <c r="F35" s="117"/>
      <c r="G35" s="118"/>
      <c r="H35" s="116"/>
      <c r="I35" s="119"/>
      <c r="J35" s="119"/>
      <c r="K35" s="119"/>
      <c r="L35" s="120"/>
      <c r="M35" s="120"/>
      <c r="N35" s="121"/>
      <c r="O35" s="121"/>
      <c r="P35" s="103"/>
      <c r="Q35" s="121"/>
      <c r="R35" s="103"/>
      <c r="S35" s="71"/>
      <c r="T35" s="123"/>
      <c r="U35" s="124"/>
      <c r="V35" s="124"/>
      <c r="W35" s="124"/>
      <c r="X35" s="122"/>
      <c r="Y35" s="122"/>
      <c r="Z35" s="122"/>
      <c r="AA35" s="122"/>
      <c r="AB35" s="121"/>
      <c r="AC35" s="121"/>
      <c r="AD35" s="121"/>
      <c r="AE35" s="121"/>
      <c r="AF35" s="121"/>
      <c r="AG35" s="121"/>
      <c r="AH35" s="125"/>
      <c r="AI35" s="121"/>
      <c r="AJ35" s="125" t="s">
        <v>272</v>
      </c>
      <c r="AK35" s="240"/>
      <c r="AL35" s="125"/>
      <c r="AM35" s="41"/>
    </row>
    <row r="36" spans="1:39" ht="12.75">
      <c r="A36" s="109" t="s">
        <v>85</v>
      </c>
      <c r="B36" s="108" t="s">
        <v>80</v>
      </c>
      <c r="C36" s="108" t="s">
        <v>84</v>
      </c>
      <c r="D36" s="110">
        <v>1</v>
      </c>
      <c r="E36" s="45">
        <f>$E$4</f>
        <v>4100</v>
      </c>
      <c r="F36" s="45">
        <f aca="true" t="shared" si="18" ref="F36:F51">$E36*5/100</f>
        <v>205</v>
      </c>
      <c r="G36" s="86">
        <f>$G$4</f>
        <v>350</v>
      </c>
      <c r="H36" s="88">
        <f aca="true" t="shared" si="19" ref="H36:H51">$G36*10/100</f>
        <v>35</v>
      </c>
      <c r="I36" s="46">
        <f>D36*(E36+F36+G36+H36)</f>
        <v>4690</v>
      </c>
      <c r="J36" s="152">
        <f>I36</f>
        <v>4690</v>
      </c>
      <c r="K36" s="152">
        <f>K4*D36</f>
        <v>4305</v>
      </c>
      <c r="L36" s="126">
        <v>4110</v>
      </c>
      <c r="M36" s="47" t="s">
        <v>95</v>
      </c>
      <c r="N36" s="78">
        <f>-I36+L36</f>
        <v>-580</v>
      </c>
      <c r="O36" s="130">
        <f>-K36+L36</f>
        <v>-195</v>
      </c>
      <c r="P36" s="96">
        <f>Y36</f>
        <v>4090</v>
      </c>
      <c r="Q36" s="112" t="s">
        <v>309</v>
      </c>
      <c r="R36" s="130">
        <f t="shared" si="0"/>
        <v>-600</v>
      </c>
      <c r="S36" s="113"/>
      <c r="T36" s="113" t="s">
        <v>24</v>
      </c>
      <c r="U36" s="89" t="s">
        <v>41</v>
      </c>
      <c r="V36" s="157"/>
      <c r="W36" s="157" t="s">
        <v>173</v>
      </c>
      <c r="X36" s="164">
        <v>10</v>
      </c>
      <c r="Y36" s="162">
        <f>V36+W36+X36</f>
        <v>4090</v>
      </c>
      <c r="Z36" s="249">
        <v>4080</v>
      </c>
      <c r="AA36" s="162">
        <f aca="true" t="shared" si="20" ref="AA36:AA47">Z36+AE36+AF36+AG36</f>
        <v>4124</v>
      </c>
      <c r="AB36" s="147">
        <f>Y36-J36</f>
        <v>-600</v>
      </c>
      <c r="AC36" s="147">
        <f>Y36-K36</f>
        <v>-215</v>
      </c>
      <c r="AD36" s="147"/>
      <c r="AE36" s="147"/>
      <c r="AF36" s="147"/>
      <c r="AG36" s="202">
        <f>43+1</f>
        <v>44</v>
      </c>
      <c r="AH36" s="167">
        <f>Y36/D36</f>
        <v>4090</v>
      </c>
      <c r="AI36" s="147">
        <f aca="true" t="shared" si="21" ref="AI36:AI51">AD36+AB36</f>
        <v>-600</v>
      </c>
      <c r="AJ36" s="167">
        <f>J36-AA36</f>
        <v>566</v>
      </c>
      <c r="AK36" s="236"/>
      <c r="AL36" s="243">
        <f t="shared" si="4"/>
        <v>-34</v>
      </c>
      <c r="AM36" s="247">
        <v>600</v>
      </c>
    </row>
    <row r="37" spans="1:39" ht="12.75">
      <c r="A37" s="109" t="s">
        <v>86</v>
      </c>
      <c r="B37" s="108" t="s">
        <v>87</v>
      </c>
      <c r="C37" s="108" t="s">
        <v>88</v>
      </c>
      <c r="D37" s="110">
        <v>1</v>
      </c>
      <c r="E37" s="45">
        <f aca="true" t="shared" si="22" ref="E37:E51">$E$4</f>
        <v>4100</v>
      </c>
      <c r="F37" s="45">
        <f t="shared" si="18"/>
        <v>205</v>
      </c>
      <c r="G37" s="86">
        <f aca="true" t="shared" si="23" ref="G37:G51">$G$4</f>
        <v>350</v>
      </c>
      <c r="H37" s="88">
        <f t="shared" si="19"/>
        <v>35</v>
      </c>
      <c r="I37" s="46">
        <f aca="true" t="shared" si="24" ref="I37:I50">D37*(E37+F37+G37+H37)</f>
        <v>4690</v>
      </c>
      <c r="J37" s="152">
        <f aca="true" t="shared" si="25" ref="J37:J51">I37</f>
        <v>4690</v>
      </c>
      <c r="K37" s="152">
        <f>K4*D37</f>
        <v>4305</v>
      </c>
      <c r="L37" s="126">
        <f>4110+50</f>
        <v>4160</v>
      </c>
      <c r="M37" s="47" t="s">
        <v>95</v>
      </c>
      <c r="N37" s="78">
        <f>-I37+L37</f>
        <v>-530</v>
      </c>
      <c r="O37" s="130">
        <f aca="true" t="shared" si="26" ref="O37:O50">-K37+L37</f>
        <v>-145</v>
      </c>
      <c r="P37" s="96">
        <f aca="true" t="shared" si="27" ref="P37:P50">Y37</f>
        <v>4092</v>
      </c>
      <c r="Q37" s="112" t="s">
        <v>173</v>
      </c>
      <c r="R37" s="130">
        <f t="shared" si="0"/>
        <v>-598</v>
      </c>
      <c r="S37" s="113"/>
      <c r="T37" s="113" t="s">
        <v>24</v>
      </c>
      <c r="U37" s="89" t="s">
        <v>41</v>
      </c>
      <c r="V37" s="157" t="s">
        <v>227</v>
      </c>
      <c r="W37" s="157" t="s">
        <v>173</v>
      </c>
      <c r="X37" s="164">
        <v>10</v>
      </c>
      <c r="Y37" s="162">
        <f aca="true" t="shared" si="28" ref="Y37:Y50">V37+W37+X37</f>
        <v>4092</v>
      </c>
      <c r="Z37" s="249">
        <v>4080</v>
      </c>
      <c r="AA37" s="162">
        <f t="shared" si="20"/>
        <v>4094</v>
      </c>
      <c r="AB37" s="147">
        <f>Y37-J37</f>
        <v>-598</v>
      </c>
      <c r="AC37" s="147">
        <f aca="true" t="shared" si="29" ref="AC37:AC50">Y37-K37</f>
        <v>-213</v>
      </c>
      <c r="AD37" s="260">
        <v>14</v>
      </c>
      <c r="AE37" s="147"/>
      <c r="AF37" s="147"/>
      <c r="AG37" s="202">
        <v>14</v>
      </c>
      <c r="AH37" s="167">
        <f aca="true" t="shared" si="30" ref="AH37:AH50">Y37/D37</f>
        <v>4092</v>
      </c>
      <c r="AI37" s="147">
        <f t="shared" si="21"/>
        <v>-584</v>
      </c>
      <c r="AJ37" s="167">
        <f>J37-AA37</f>
        <v>596</v>
      </c>
      <c r="AK37" s="236"/>
      <c r="AL37" s="243">
        <f t="shared" si="4"/>
        <v>12</v>
      </c>
      <c r="AM37" s="247">
        <v>650</v>
      </c>
    </row>
    <row r="38" spans="1:39" ht="12.75">
      <c r="A38" s="109" t="s">
        <v>34</v>
      </c>
      <c r="B38" s="108"/>
      <c r="C38" s="108" t="s">
        <v>35</v>
      </c>
      <c r="D38" s="110">
        <v>3</v>
      </c>
      <c r="E38" s="45">
        <f t="shared" si="22"/>
        <v>4100</v>
      </c>
      <c r="F38" s="45">
        <f t="shared" si="18"/>
        <v>205</v>
      </c>
      <c r="G38" s="86">
        <f t="shared" si="23"/>
        <v>350</v>
      </c>
      <c r="H38" s="88">
        <f t="shared" si="19"/>
        <v>35</v>
      </c>
      <c r="I38" s="46">
        <f t="shared" si="24"/>
        <v>14070</v>
      </c>
      <c r="J38" s="152">
        <f t="shared" si="25"/>
        <v>14070</v>
      </c>
      <c r="K38" s="152">
        <f>K4*D38</f>
        <v>12915</v>
      </c>
      <c r="L38" s="111" t="s">
        <v>108</v>
      </c>
      <c r="M38" s="128" t="s">
        <v>94</v>
      </c>
      <c r="N38" s="78"/>
      <c r="O38" s="130"/>
      <c r="P38" s="96">
        <f>Y38+982+AD38</f>
        <v>9406</v>
      </c>
      <c r="Q38" s="112" t="s">
        <v>315</v>
      </c>
      <c r="R38" s="130">
        <f t="shared" si="0"/>
        <v>-4664</v>
      </c>
      <c r="S38" s="113"/>
      <c r="T38" s="113" t="s">
        <v>24</v>
      </c>
      <c r="U38" s="112" t="s">
        <v>109</v>
      </c>
      <c r="V38" s="158" t="s">
        <v>242</v>
      </c>
      <c r="W38" s="164">
        <f>3565+3510+1053</f>
        <v>8128</v>
      </c>
      <c r="X38" s="164">
        <v>0</v>
      </c>
      <c r="Y38" s="162">
        <f>V38+W38+X38+AD38</f>
        <v>8354</v>
      </c>
      <c r="Z38" s="249">
        <v>11432</v>
      </c>
      <c r="AA38" s="162">
        <f t="shared" si="20"/>
        <v>12414</v>
      </c>
      <c r="AB38" s="147">
        <f>Y38-J38</f>
        <v>-5716</v>
      </c>
      <c r="AC38" s="147">
        <f t="shared" si="29"/>
        <v>-4561</v>
      </c>
      <c r="AD38" s="260">
        <v>70</v>
      </c>
      <c r="AE38" s="91">
        <v>982</v>
      </c>
      <c r="AF38" s="147"/>
      <c r="AG38" s="147">
        <v>0</v>
      </c>
      <c r="AH38" s="195">
        <f>Y38/D38+AG20</f>
        <v>2784.6666666666665</v>
      </c>
      <c r="AI38" s="147">
        <f t="shared" si="21"/>
        <v>-5646</v>
      </c>
      <c r="AJ38" s="195">
        <f>J38-AA38</f>
        <v>1656</v>
      </c>
      <c r="AK38" s="248" t="s">
        <v>382</v>
      </c>
      <c r="AL38" s="246">
        <f t="shared" si="4"/>
        <v>-3990</v>
      </c>
      <c r="AM38" s="41"/>
    </row>
    <row r="39" spans="1:39" ht="12.75">
      <c r="A39" s="109" t="s">
        <v>36</v>
      </c>
      <c r="B39" s="108"/>
      <c r="C39" s="108" t="s">
        <v>26</v>
      </c>
      <c r="D39" s="110">
        <v>3</v>
      </c>
      <c r="E39" s="45">
        <f t="shared" si="22"/>
        <v>4100</v>
      </c>
      <c r="F39" s="45">
        <f t="shared" si="18"/>
        <v>205</v>
      </c>
      <c r="G39" s="86">
        <f t="shared" si="23"/>
        <v>350</v>
      </c>
      <c r="H39" s="88">
        <f t="shared" si="19"/>
        <v>35</v>
      </c>
      <c r="I39" s="46">
        <f t="shared" si="24"/>
        <v>14070</v>
      </c>
      <c r="J39" s="152">
        <f t="shared" si="25"/>
        <v>14070</v>
      </c>
      <c r="K39" s="152">
        <f>K4*D39</f>
        <v>12915</v>
      </c>
      <c r="L39" s="111">
        <v>12300</v>
      </c>
      <c r="M39" s="128" t="s">
        <v>94</v>
      </c>
      <c r="N39" s="78">
        <f aca="true" t="shared" si="31" ref="N39:N50">-I39+L39</f>
        <v>-1770</v>
      </c>
      <c r="O39" s="130">
        <f t="shared" si="26"/>
        <v>-615</v>
      </c>
      <c r="P39" s="96">
        <f t="shared" si="27"/>
        <v>11446</v>
      </c>
      <c r="Q39" s="112" t="s">
        <v>174</v>
      </c>
      <c r="R39" s="130">
        <f t="shared" si="0"/>
        <v>-2624</v>
      </c>
      <c r="S39" s="113"/>
      <c r="T39" s="113" t="s">
        <v>24</v>
      </c>
      <c r="U39" s="112" t="s">
        <v>119</v>
      </c>
      <c r="V39" s="158" t="s">
        <v>238</v>
      </c>
      <c r="W39" s="158" t="s">
        <v>174</v>
      </c>
      <c r="X39" s="164">
        <v>0</v>
      </c>
      <c r="Y39" s="162">
        <f>V39+W39+X39+AD39</f>
        <v>11446</v>
      </c>
      <c r="Z39" s="249">
        <v>9530</v>
      </c>
      <c r="AA39" s="162">
        <f t="shared" si="20"/>
        <v>11440</v>
      </c>
      <c r="AB39" s="147">
        <f>Y39-J39</f>
        <v>-2624</v>
      </c>
      <c r="AC39" s="147">
        <f t="shared" si="29"/>
        <v>-1469</v>
      </c>
      <c r="AD39" s="260">
        <v>1910</v>
      </c>
      <c r="AE39" s="91"/>
      <c r="AF39" s="91"/>
      <c r="AG39" s="91">
        <f>AD39</f>
        <v>1910</v>
      </c>
      <c r="AH39" s="195">
        <f t="shared" si="30"/>
        <v>3815.3333333333335</v>
      </c>
      <c r="AI39" s="147">
        <f t="shared" si="21"/>
        <v>-714</v>
      </c>
      <c r="AJ39" s="195">
        <f aca="true" t="shared" si="32" ref="AJ39:AJ51">J39-AA39</f>
        <v>2630</v>
      </c>
      <c r="AK39" s="241"/>
      <c r="AL39" s="246">
        <f t="shared" si="4"/>
        <v>1916</v>
      </c>
      <c r="AM39" s="41"/>
    </row>
    <row r="40" spans="1:39" ht="12.75">
      <c r="A40" s="109" t="s">
        <v>37</v>
      </c>
      <c r="B40" s="108"/>
      <c r="C40" s="108" t="s">
        <v>125</v>
      </c>
      <c r="D40" s="110">
        <v>6</v>
      </c>
      <c r="E40" s="45">
        <f t="shared" si="22"/>
        <v>4100</v>
      </c>
      <c r="F40" s="45">
        <f t="shared" si="18"/>
        <v>205</v>
      </c>
      <c r="G40" s="86">
        <f t="shared" si="23"/>
        <v>350</v>
      </c>
      <c r="H40" s="88">
        <f t="shared" si="19"/>
        <v>35</v>
      </c>
      <c r="I40" s="46">
        <f t="shared" si="24"/>
        <v>28140</v>
      </c>
      <c r="J40" s="152">
        <f t="shared" si="25"/>
        <v>28140</v>
      </c>
      <c r="K40" s="152">
        <f>K4*D40</f>
        <v>25830</v>
      </c>
      <c r="L40" s="111">
        <v>25000</v>
      </c>
      <c r="M40" s="128" t="s">
        <v>94</v>
      </c>
      <c r="N40" s="78">
        <f t="shared" si="31"/>
        <v>-3140</v>
      </c>
      <c r="O40" s="130">
        <f t="shared" si="26"/>
        <v>-830</v>
      </c>
      <c r="P40" s="96">
        <f t="shared" si="27"/>
        <v>24000</v>
      </c>
      <c r="Q40" s="112" t="s">
        <v>175</v>
      </c>
      <c r="R40" s="130">
        <f t="shared" si="0"/>
        <v>-4140</v>
      </c>
      <c r="S40" s="140" t="s">
        <v>31</v>
      </c>
      <c r="T40" s="113" t="s">
        <v>24</v>
      </c>
      <c r="U40" s="112"/>
      <c r="V40" s="158"/>
      <c r="W40" s="158" t="s">
        <v>175</v>
      </c>
      <c r="X40" s="164">
        <v>0</v>
      </c>
      <c r="Y40" s="162">
        <f t="shared" si="28"/>
        <v>24000</v>
      </c>
      <c r="Z40" s="249">
        <v>24000</v>
      </c>
      <c r="AA40" s="162">
        <f t="shared" si="20"/>
        <v>24000</v>
      </c>
      <c r="AB40" s="147">
        <f>Y40-J40</f>
        <v>-4140</v>
      </c>
      <c r="AC40" s="147">
        <f t="shared" si="29"/>
        <v>-1830</v>
      </c>
      <c r="AD40" s="147"/>
      <c r="AE40" s="147"/>
      <c r="AF40" s="147"/>
      <c r="AG40" s="147"/>
      <c r="AH40" s="195">
        <f t="shared" si="30"/>
        <v>4000</v>
      </c>
      <c r="AI40" s="147">
        <f t="shared" si="21"/>
        <v>-4140</v>
      </c>
      <c r="AJ40" s="195">
        <f t="shared" si="32"/>
        <v>4140</v>
      </c>
      <c r="AK40" s="241"/>
      <c r="AL40" s="243">
        <f t="shared" si="4"/>
        <v>0</v>
      </c>
      <c r="AM40" s="41"/>
    </row>
    <row r="41" spans="1:39" ht="12.75">
      <c r="A41" s="109" t="s">
        <v>38</v>
      </c>
      <c r="B41" s="108"/>
      <c r="C41" s="108" t="s">
        <v>27</v>
      </c>
      <c r="D41" s="110">
        <v>3</v>
      </c>
      <c r="E41" s="45">
        <f t="shared" si="22"/>
        <v>4100</v>
      </c>
      <c r="F41" s="45">
        <f t="shared" si="18"/>
        <v>205</v>
      </c>
      <c r="G41" s="86">
        <f t="shared" si="23"/>
        <v>350</v>
      </c>
      <c r="H41" s="88">
        <f t="shared" si="19"/>
        <v>35</v>
      </c>
      <c r="I41" s="46">
        <f t="shared" si="24"/>
        <v>14070</v>
      </c>
      <c r="J41" s="152">
        <f t="shared" si="25"/>
        <v>14070</v>
      </c>
      <c r="K41" s="152">
        <f>K4*D41</f>
        <v>12915</v>
      </c>
      <c r="L41" s="111">
        <v>12400</v>
      </c>
      <c r="M41" s="128" t="s">
        <v>94</v>
      </c>
      <c r="N41" s="78">
        <f t="shared" si="31"/>
        <v>-1670</v>
      </c>
      <c r="O41" s="130">
        <f t="shared" si="26"/>
        <v>-515</v>
      </c>
      <c r="P41" s="96">
        <f t="shared" si="27"/>
        <v>14306</v>
      </c>
      <c r="Q41" s="112" t="s">
        <v>231</v>
      </c>
      <c r="R41" s="130">
        <f t="shared" si="0"/>
        <v>236</v>
      </c>
      <c r="S41" s="113"/>
      <c r="T41" s="113" t="s">
        <v>24</v>
      </c>
      <c r="U41" s="112" t="s">
        <v>120</v>
      </c>
      <c r="V41" s="158" t="s">
        <v>238</v>
      </c>
      <c r="W41" s="158" t="s">
        <v>231</v>
      </c>
      <c r="X41" s="164">
        <v>2300</v>
      </c>
      <c r="Y41" s="162">
        <f t="shared" si="28"/>
        <v>14306</v>
      </c>
      <c r="Z41" s="249">
        <v>24400</v>
      </c>
      <c r="AA41" s="162">
        <f t="shared" si="20"/>
        <v>24400</v>
      </c>
      <c r="AB41" s="147">
        <f aca="true" t="shared" si="33" ref="AB41:AB50">Y41-J41</f>
        <v>236</v>
      </c>
      <c r="AC41" s="147">
        <f t="shared" si="29"/>
        <v>1391</v>
      </c>
      <c r="AD41" s="147"/>
      <c r="AE41" s="147"/>
      <c r="AF41" s="147"/>
      <c r="AG41" s="147"/>
      <c r="AH41" s="167">
        <f t="shared" si="30"/>
        <v>4768.666666666667</v>
      </c>
      <c r="AI41" s="147">
        <f t="shared" si="21"/>
        <v>236</v>
      </c>
      <c r="AJ41" s="167">
        <f t="shared" si="32"/>
        <v>-10330</v>
      </c>
      <c r="AK41" s="236"/>
      <c r="AL41" s="246">
        <f t="shared" si="4"/>
        <v>-10094</v>
      </c>
      <c r="AM41" s="41"/>
    </row>
    <row r="42" spans="1:39" ht="12.75">
      <c r="A42" s="109" t="s">
        <v>40</v>
      </c>
      <c r="B42" s="108"/>
      <c r="C42" s="108" t="s">
        <v>126</v>
      </c>
      <c r="D42" s="110">
        <v>2</v>
      </c>
      <c r="E42" s="45">
        <f t="shared" si="22"/>
        <v>4100</v>
      </c>
      <c r="F42" s="45">
        <f>$E42*30/100</f>
        <v>1230</v>
      </c>
      <c r="G42" s="86">
        <f t="shared" si="23"/>
        <v>350</v>
      </c>
      <c r="H42" s="88">
        <f>$G42*30/100</f>
        <v>105</v>
      </c>
      <c r="I42" s="46">
        <f t="shared" si="24"/>
        <v>11570</v>
      </c>
      <c r="J42" s="152">
        <f t="shared" si="25"/>
        <v>11570</v>
      </c>
      <c r="K42" s="152">
        <f>K4*D42</f>
        <v>8610</v>
      </c>
      <c r="L42" s="111">
        <v>4200</v>
      </c>
      <c r="M42" s="128" t="s">
        <v>94</v>
      </c>
      <c r="N42" s="78">
        <f t="shared" si="31"/>
        <v>-7370</v>
      </c>
      <c r="O42" s="130">
        <f t="shared" si="26"/>
        <v>-4410</v>
      </c>
      <c r="P42" s="96">
        <f t="shared" si="27"/>
        <v>4200</v>
      </c>
      <c r="Q42" s="112" t="s">
        <v>179</v>
      </c>
      <c r="R42" s="130">
        <f t="shared" si="0"/>
        <v>-7370</v>
      </c>
      <c r="S42" s="140" t="s">
        <v>31</v>
      </c>
      <c r="T42" s="113" t="s">
        <v>24</v>
      </c>
      <c r="U42" s="112"/>
      <c r="V42" s="158"/>
      <c r="W42" s="158" t="s">
        <v>179</v>
      </c>
      <c r="X42" s="164">
        <v>0</v>
      </c>
      <c r="Y42" s="162">
        <f t="shared" si="28"/>
        <v>4200</v>
      </c>
      <c r="Z42" s="249">
        <v>4200</v>
      </c>
      <c r="AA42" s="162">
        <f t="shared" si="20"/>
        <v>4200</v>
      </c>
      <c r="AB42" s="147">
        <f t="shared" si="33"/>
        <v>-7370</v>
      </c>
      <c r="AC42" s="147">
        <f t="shared" si="29"/>
        <v>-4410</v>
      </c>
      <c r="AD42" s="260">
        <v>1000</v>
      </c>
      <c r="AE42" s="147"/>
      <c r="AF42" s="147"/>
      <c r="AG42" s="147"/>
      <c r="AH42" s="167">
        <f t="shared" si="30"/>
        <v>2100</v>
      </c>
      <c r="AI42" s="147">
        <f t="shared" si="21"/>
        <v>-6370</v>
      </c>
      <c r="AJ42" s="167">
        <f t="shared" si="32"/>
        <v>7370</v>
      </c>
      <c r="AK42" s="236"/>
      <c r="AL42" s="243">
        <f t="shared" si="4"/>
        <v>1000</v>
      </c>
      <c r="AM42" s="41"/>
    </row>
    <row r="43" spans="1:43" ht="12.75">
      <c r="A43" s="107" t="s">
        <v>8</v>
      </c>
      <c r="B43" s="43" t="s">
        <v>5</v>
      </c>
      <c r="C43" s="75" t="s">
        <v>9</v>
      </c>
      <c r="D43" s="76">
        <v>2</v>
      </c>
      <c r="E43" s="45">
        <f t="shared" si="22"/>
        <v>4100</v>
      </c>
      <c r="F43" s="45">
        <f t="shared" si="18"/>
        <v>205</v>
      </c>
      <c r="G43" s="86">
        <f t="shared" si="23"/>
        <v>350</v>
      </c>
      <c r="H43" s="88">
        <f t="shared" si="19"/>
        <v>35</v>
      </c>
      <c r="I43" s="46">
        <f t="shared" si="24"/>
        <v>9380</v>
      </c>
      <c r="J43" s="152">
        <f t="shared" si="25"/>
        <v>9380</v>
      </c>
      <c r="K43" s="152">
        <f>K4*D43</f>
        <v>8610</v>
      </c>
      <c r="L43" s="77">
        <v>8272</v>
      </c>
      <c r="M43" s="128" t="s">
        <v>96</v>
      </c>
      <c r="N43" s="78">
        <f t="shared" si="31"/>
        <v>-1108</v>
      </c>
      <c r="O43" s="130">
        <f t="shared" si="26"/>
        <v>-338</v>
      </c>
      <c r="P43" s="96">
        <f t="shared" si="27"/>
        <v>8204</v>
      </c>
      <c r="Q43" s="51" t="s">
        <v>313</v>
      </c>
      <c r="R43" s="130">
        <f t="shared" si="0"/>
        <v>-1176</v>
      </c>
      <c r="S43" s="140"/>
      <c r="T43" s="113" t="s">
        <v>24</v>
      </c>
      <c r="U43" s="51"/>
      <c r="V43" s="157" t="s">
        <v>236</v>
      </c>
      <c r="W43" s="157"/>
      <c r="X43" s="162">
        <v>8200</v>
      </c>
      <c r="Y43" s="162">
        <f t="shared" si="28"/>
        <v>8204</v>
      </c>
      <c r="Z43" s="249">
        <v>8200</v>
      </c>
      <c r="AA43" s="162">
        <f t="shared" si="20"/>
        <v>8200</v>
      </c>
      <c r="AB43" s="147">
        <f t="shared" si="33"/>
        <v>-1176</v>
      </c>
      <c r="AC43" s="147">
        <f t="shared" si="29"/>
        <v>-406</v>
      </c>
      <c r="AD43" s="147"/>
      <c r="AE43" s="147"/>
      <c r="AF43" s="147"/>
      <c r="AG43" s="147"/>
      <c r="AH43" s="167">
        <f t="shared" si="30"/>
        <v>4102</v>
      </c>
      <c r="AI43" s="147">
        <f t="shared" si="21"/>
        <v>-1176</v>
      </c>
      <c r="AJ43" s="167">
        <f t="shared" si="32"/>
        <v>1180</v>
      </c>
      <c r="AK43" s="236"/>
      <c r="AL43" s="243">
        <f t="shared" si="4"/>
        <v>4</v>
      </c>
      <c r="AM43" s="41"/>
      <c r="AQ43" s="8"/>
    </row>
    <row r="44" spans="1:39" ht="12.75">
      <c r="A44" s="107" t="s">
        <v>10</v>
      </c>
      <c r="B44" s="43" t="s">
        <v>5</v>
      </c>
      <c r="C44" s="75" t="s">
        <v>11</v>
      </c>
      <c r="D44" s="76">
        <v>1</v>
      </c>
      <c r="E44" s="45">
        <f t="shared" si="22"/>
        <v>4100</v>
      </c>
      <c r="F44" s="45">
        <f t="shared" si="18"/>
        <v>205</v>
      </c>
      <c r="G44" s="86">
        <f t="shared" si="23"/>
        <v>350</v>
      </c>
      <c r="H44" s="88">
        <f t="shared" si="19"/>
        <v>35</v>
      </c>
      <c r="I44" s="46">
        <f t="shared" si="24"/>
        <v>4690</v>
      </c>
      <c r="J44" s="152">
        <f t="shared" si="25"/>
        <v>4690</v>
      </c>
      <c r="K44" s="152">
        <f>K4*D44</f>
        <v>4305</v>
      </c>
      <c r="L44" s="77">
        <v>4136</v>
      </c>
      <c r="M44" s="47" t="s">
        <v>96</v>
      </c>
      <c r="N44" s="78">
        <f t="shared" si="31"/>
        <v>-554</v>
      </c>
      <c r="O44" s="130">
        <f t="shared" si="26"/>
        <v>-169</v>
      </c>
      <c r="P44" s="96">
        <f t="shared" si="27"/>
        <v>4102</v>
      </c>
      <c r="Q44" s="51" t="s">
        <v>310</v>
      </c>
      <c r="R44" s="130">
        <f t="shared" si="0"/>
        <v>-588</v>
      </c>
      <c r="S44" s="140"/>
      <c r="T44" s="113" t="s">
        <v>24</v>
      </c>
      <c r="U44" s="51"/>
      <c r="V44" s="157" t="s">
        <v>227</v>
      </c>
      <c r="W44" s="157"/>
      <c r="X44" s="162">
        <v>4100</v>
      </c>
      <c r="Y44" s="162">
        <f t="shared" si="28"/>
        <v>4102</v>
      </c>
      <c r="Z44" s="249">
        <v>4100</v>
      </c>
      <c r="AA44" s="162">
        <f t="shared" si="20"/>
        <v>4100</v>
      </c>
      <c r="AB44" s="147">
        <f t="shared" si="33"/>
        <v>-588</v>
      </c>
      <c r="AC44" s="147">
        <f t="shared" si="29"/>
        <v>-203</v>
      </c>
      <c r="AD44" s="147"/>
      <c r="AE44" s="147"/>
      <c r="AF44" s="147"/>
      <c r="AG44" s="147"/>
      <c r="AH44" s="167">
        <f t="shared" si="30"/>
        <v>4102</v>
      </c>
      <c r="AI44" s="147">
        <f t="shared" si="21"/>
        <v>-588</v>
      </c>
      <c r="AJ44" s="167">
        <f t="shared" si="32"/>
        <v>590</v>
      </c>
      <c r="AK44" s="236"/>
      <c r="AL44" s="243">
        <f t="shared" si="4"/>
        <v>2</v>
      </c>
      <c r="AM44" s="41"/>
    </row>
    <row r="45" spans="1:39" ht="12.75">
      <c r="A45" s="107" t="s">
        <v>98</v>
      </c>
      <c r="B45" s="43" t="s">
        <v>5</v>
      </c>
      <c r="C45" s="75" t="s">
        <v>104</v>
      </c>
      <c r="D45" s="76">
        <v>1</v>
      </c>
      <c r="E45" s="45">
        <f t="shared" si="22"/>
        <v>4100</v>
      </c>
      <c r="F45" s="45">
        <f t="shared" si="18"/>
        <v>205</v>
      </c>
      <c r="G45" s="86">
        <f t="shared" si="23"/>
        <v>350</v>
      </c>
      <c r="H45" s="88">
        <f t="shared" si="19"/>
        <v>35</v>
      </c>
      <c r="I45" s="46">
        <f t="shared" si="24"/>
        <v>4690</v>
      </c>
      <c r="J45" s="152">
        <f t="shared" si="25"/>
        <v>4690</v>
      </c>
      <c r="K45" s="152">
        <f>K4*D45</f>
        <v>4305</v>
      </c>
      <c r="L45" s="77">
        <v>4200</v>
      </c>
      <c r="M45" s="47" t="s">
        <v>96</v>
      </c>
      <c r="N45" s="78">
        <f t="shared" si="31"/>
        <v>-490</v>
      </c>
      <c r="O45" s="130">
        <f t="shared" si="26"/>
        <v>-105</v>
      </c>
      <c r="P45" s="96">
        <f t="shared" si="27"/>
        <v>4102</v>
      </c>
      <c r="Q45" s="51" t="s">
        <v>310</v>
      </c>
      <c r="R45" s="130">
        <f t="shared" si="0"/>
        <v>-588</v>
      </c>
      <c r="S45" s="140"/>
      <c r="T45" s="113" t="s">
        <v>24</v>
      </c>
      <c r="U45" s="51"/>
      <c r="V45" s="157" t="s">
        <v>227</v>
      </c>
      <c r="W45" s="157" t="s">
        <v>178</v>
      </c>
      <c r="X45" s="162">
        <v>1800</v>
      </c>
      <c r="Y45" s="162">
        <f t="shared" si="28"/>
        <v>4102</v>
      </c>
      <c r="Z45" s="249">
        <v>4100</v>
      </c>
      <c r="AA45" s="162">
        <f t="shared" si="20"/>
        <v>4100</v>
      </c>
      <c r="AB45" s="147">
        <f t="shared" si="33"/>
        <v>-588</v>
      </c>
      <c r="AC45" s="147">
        <f t="shared" si="29"/>
        <v>-203</v>
      </c>
      <c r="AD45" s="147"/>
      <c r="AE45" s="147"/>
      <c r="AF45" s="147"/>
      <c r="AG45" s="147"/>
      <c r="AH45" s="167">
        <f t="shared" si="30"/>
        <v>4102</v>
      </c>
      <c r="AI45" s="147">
        <f t="shared" si="21"/>
        <v>-588</v>
      </c>
      <c r="AJ45" s="167">
        <f t="shared" si="32"/>
        <v>590</v>
      </c>
      <c r="AK45" s="236"/>
      <c r="AL45" s="243">
        <f t="shared" si="4"/>
        <v>2</v>
      </c>
      <c r="AM45" s="41"/>
    </row>
    <row r="46" spans="1:39" ht="12.75">
      <c r="A46" s="107" t="s">
        <v>99</v>
      </c>
      <c r="B46" s="43" t="s">
        <v>5</v>
      </c>
      <c r="C46" s="75" t="s">
        <v>12</v>
      </c>
      <c r="D46" s="76">
        <v>1</v>
      </c>
      <c r="E46" s="45">
        <f t="shared" si="22"/>
        <v>4100</v>
      </c>
      <c r="F46" s="45">
        <f t="shared" si="18"/>
        <v>205</v>
      </c>
      <c r="G46" s="86">
        <f t="shared" si="23"/>
        <v>350</v>
      </c>
      <c r="H46" s="88">
        <f t="shared" si="19"/>
        <v>35</v>
      </c>
      <c r="I46" s="46">
        <f>D46*(E46+F46+G46+H46)</f>
        <v>4690</v>
      </c>
      <c r="J46" s="152">
        <f t="shared" si="25"/>
        <v>4690</v>
      </c>
      <c r="K46" s="152">
        <f>K4*D46</f>
        <v>4305</v>
      </c>
      <c r="L46" s="77">
        <v>4200</v>
      </c>
      <c r="M46" s="47" t="s">
        <v>96</v>
      </c>
      <c r="N46" s="78">
        <f t="shared" si="31"/>
        <v>-490</v>
      </c>
      <c r="O46" s="130">
        <f t="shared" si="26"/>
        <v>-105</v>
      </c>
      <c r="P46" s="96">
        <f t="shared" si="27"/>
        <v>4102</v>
      </c>
      <c r="Q46" s="51" t="s">
        <v>310</v>
      </c>
      <c r="R46" s="130">
        <f t="shared" si="0"/>
        <v>-588</v>
      </c>
      <c r="S46" s="140"/>
      <c r="T46" s="113" t="s">
        <v>24</v>
      </c>
      <c r="U46" s="51"/>
      <c r="V46" s="157" t="s">
        <v>227</v>
      </c>
      <c r="W46" s="157"/>
      <c r="X46" s="162">
        <v>4100</v>
      </c>
      <c r="Y46" s="162">
        <f t="shared" si="28"/>
        <v>4102</v>
      </c>
      <c r="Z46" s="249">
        <v>4100</v>
      </c>
      <c r="AA46" s="162">
        <f t="shared" si="20"/>
        <v>4100</v>
      </c>
      <c r="AB46" s="147">
        <f t="shared" si="33"/>
        <v>-588</v>
      </c>
      <c r="AC46" s="147">
        <f t="shared" si="29"/>
        <v>-203</v>
      </c>
      <c r="AD46" s="147"/>
      <c r="AE46" s="147"/>
      <c r="AF46" s="147"/>
      <c r="AG46" s="147"/>
      <c r="AH46" s="167">
        <f t="shared" si="30"/>
        <v>4102</v>
      </c>
      <c r="AI46" s="147">
        <f t="shared" si="21"/>
        <v>-588</v>
      </c>
      <c r="AJ46" s="167">
        <f t="shared" si="32"/>
        <v>590</v>
      </c>
      <c r="AK46" s="236"/>
      <c r="AL46" s="243">
        <f t="shared" si="4"/>
        <v>2</v>
      </c>
      <c r="AM46" s="41"/>
    </row>
    <row r="47" spans="1:39" ht="12.75">
      <c r="A47" s="107" t="s">
        <v>100</v>
      </c>
      <c r="B47" s="43" t="s">
        <v>5</v>
      </c>
      <c r="C47" s="75" t="s">
        <v>103</v>
      </c>
      <c r="D47" s="76">
        <v>0.15</v>
      </c>
      <c r="E47" s="45">
        <f t="shared" si="22"/>
        <v>4100</v>
      </c>
      <c r="F47" s="45">
        <f t="shared" si="18"/>
        <v>205</v>
      </c>
      <c r="G47" s="86">
        <f t="shared" si="23"/>
        <v>350</v>
      </c>
      <c r="H47" s="88">
        <f t="shared" si="19"/>
        <v>35</v>
      </c>
      <c r="I47" s="46">
        <f t="shared" si="24"/>
        <v>703.5</v>
      </c>
      <c r="J47" s="152">
        <f t="shared" si="25"/>
        <v>703.5</v>
      </c>
      <c r="K47" s="152">
        <f>K4*D47</f>
        <v>645.75</v>
      </c>
      <c r="L47" s="77">
        <v>800</v>
      </c>
      <c r="M47" s="128" t="s">
        <v>96</v>
      </c>
      <c r="N47" s="78">
        <f t="shared" si="31"/>
        <v>96.5</v>
      </c>
      <c r="O47" s="130">
        <f t="shared" si="26"/>
        <v>154.25</v>
      </c>
      <c r="P47" s="96">
        <f t="shared" si="27"/>
        <v>800</v>
      </c>
      <c r="Q47" s="51" t="s">
        <v>251</v>
      </c>
      <c r="R47" s="130">
        <f t="shared" si="0"/>
        <v>96.5</v>
      </c>
      <c r="S47" s="140"/>
      <c r="T47" s="113" t="s">
        <v>24</v>
      </c>
      <c r="U47" s="51"/>
      <c r="V47" s="157"/>
      <c r="W47" s="157"/>
      <c r="X47" s="162">
        <v>800</v>
      </c>
      <c r="Y47" s="162">
        <f t="shared" si="28"/>
        <v>800</v>
      </c>
      <c r="Z47" s="257">
        <v>200</v>
      </c>
      <c r="AA47" s="162">
        <f t="shared" si="20"/>
        <v>200</v>
      </c>
      <c r="AB47" s="147">
        <f t="shared" si="33"/>
        <v>96.5</v>
      </c>
      <c r="AC47" s="147">
        <f t="shared" si="29"/>
        <v>154.25</v>
      </c>
      <c r="AD47" s="147"/>
      <c r="AE47" s="147"/>
      <c r="AF47" s="147"/>
      <c r="AG47" s="147"/>
      <c r="AH47" s="167">
        <f t="shared" si="30"/>
        <v>5333.333333333334</v>
      </c>
      <c r="AI47" s="147">
        <f t="shared" si="21"/>
        <v>96.5</v>
      </c>
      <c r="AJ47" s="167">
        <f t="shared" si="32"/>
        <v>503.5</v>
      </c>
      <c r="AK47" s="236"/>
      <c r="AL47" s="243">
        <f t="shared" si="4"/>
        <v>600</v>
      </c>
      <c r="AM47" s="41"/>
    </row>
    <row r="48" spans="1:39" ht="12.75">
      <c r="A48" s="107" t="s">
        <v>102</v>
      </c>
      <c r="B48" s="43"/>
      <c r="C48" s="75" t="s">
        <v>101</v>
      </c>
      <c r="D48" s="76">
        <v>0.1</v>
      </c>
      <c r="E48" s="45">
        <f t="shared" si="22"/>
        <v>4100</v>
      </c>
      <c r="F48" s="45">
        <f t="shared" si="18"/>
        <v>205</v>
      </c>
      <c r="G48" s="86">
        <f t="shared" si="23"/>
        <v>350</v>
      </c>
      <c r="H48" s="88">
        <f t="shared" si="19"/>
        <v>35</v>
      </c>
      <c r="I48" s="46">
        <f>D48*(E48+F48+G48+H48)</f>
        <v>469</v>
      </c>
      <c r="J48" s="152">
        <f t="shared" si="25"/>
        <v>469</v>
      </c>
      <c r="K48" s="152">
        <f>K4*D48</f>
        <v>430.5</v>
      </c>
      <c r="L48" s="77">
        <v>280</v>
      </c>
      <c r="M48" s="128" t="s">
        <v>96</v>
      </c>
      <c r="N48" s="78">
        <f t="shared" si="31"/>
        <v>-189</v>
      </c>
      <c r="O48" s="130">
        <f t="shared" si="26"/>
        <v>-150.5</v>
      </c>
      <c r="P48" s="96">
        <f t="shared" si="27"/>
        <v>331</v>
      </c>
      <c r="Q48" s="89" t="s">
        <v>176</v>
      </c>
      <c r="R48" s="130">
        <f t="shared" si="0"/>
        <v>-138</v>
      </c>
      <c r="S48" s="140"/>
      <c r="T48" s="113" t="s">
        <v>24</v>
      </c>
      <c r="U48" s="51"/>
      <c r="V48" s="157"/>
      <c r="W48" s="157" t="s">
        <v>318</v>
      </c>
      <c r="X48" s="162">
        <v>140</v>
      </c>
      <c r="Y48" s="162">
        <f t="shared" si="28"/>
        <v>331</v>
      </c>
      <c r="Z48" s="249">
        <v>892</v>
      </c>
      <c r="AA48" s="162">
        <f>Z48+AD48+AG48</f>
        <v>892</v>
      </c>
      <c r="AB48" s="91">
        <f t="shared" si="33"/>
        <v>-138</v>
      </c>
      <c r="AC48" s="91">
        <f t="shared" si="29"/>
        <v>-99.5</v>
      </c>
      <c r="AD48" s="147"/>
      <c r="AE48" s="147"/>
      <c r="AF48" s="91">
        <v>51</v>
      </c>
      <c r="AG48" s="147"/>
      <c r="AH48" s="88">
        <f t="shared" si="30"/>
        <v>3310</v>
      </c>
      <c r="AI48" s="147">
        <f t="shared" si="21"/>
        <v>-138</v>
      </c>
      <c r="AJ48" s="88"/>
      <c r="AK48" s="232"/>
      <c r="AL48" s="243"/>
      <c r="AM48" s="41"/>
    </row>
    <row r="49" spans="1:39" ht="12.75">
      <c r="A49" s="107" t="s">
        <v>13</v>
      </c>
      <c r="B49" s="43"/>
      <c r="C49" s="75"/>
      <c r="D49" s="76">
        <v>1</v>
      </c>
      <c r="E49" s="45">
        <f t="shared" si="22"/>
        <v>4100</v>
      </c>
      <c r="F49" s="45">
        <f t="shared" si="18"/>
        <v>205</v>
      </c>
      <c r="G49" s="86">
        <f t="shared" si="23"/>
        <v>350</v>
      </c>
      <c r="H49" s="88">
        <f t="shared" si="19"/>
        <v>35</v>
      </c>
      <c r="I49" s="46">
        <f t="shared" si="24"/>
        <v>4690</v>
      </c>
      <c r="J49" s="152">
        <f t="shared" si="25"/>
        <v>4690</v>
      </c>
      <c r="K49" s="152">
        <f>K4*D49</f>
        <v>4305</v>
      </c>
      <c r="L49" s="77">
        <v>4250</v>
      </c>
      <c r="M49" s="47" t="s">
        <v>96</v>
      </c>
      <c r="N49" s="78">
        <f t="shared" si="31"/>
        <v>-440</v>
      </c>
      <c r="O49" s="130">
        <f t="shared" si="26"/>
        <v>-55</v>
      </c>
      <c r="P49" s="96">
        <f t="shared" si="27"/>
        <v>4100</v>
      </c>
      <c r="Q49" s="51" t="s">
        <v>310</v>
      </c>
      <c r="R49" s="130">
        <f t="shared" si="0"/>
        <v>-590</v>
      </c>
      <c r="S49" s="140"/>
      <c r="T49" s="113" t="s">
        <v>24</v>
      </c>
      <c r="U49" s="51"/>
      <c r="V49" s="157"/>
      <c r="W49" s="157" t="s">
        <v>177</v>
      </c>
      <c r="X49" s="162">
        <v>3950</v>
      </c>
      <c r="Y49" s="162">
        <f t="shared" si="28"/>
        <v>4100</v>
      </c>
      <c r="Z49" s="249">
        <v>4100</v>
      </c>
      <c r="AA49" s="162">
        <f>Z49+AE49+AF49+AG49</f>
        <v>4100</v>
      </c>
      <c r="AB49" s="147">
        <f t="shared" si="33"/>
        <v>-590</v>
      </c>
      <c r="AC49" s="147">
        <f t="shared" si="29"/>
        <v>-205</v>
      </c>
      <c r="AD49" s="147"/>
      <c r="AE49" s="147"/>
      <c r="AF49" s="147"/>
      <c r="AG49" s="147"/>
      <c r="AH49" s="167">
        <f t="shared" si="30"/>
        <v>4100</v>
      </c>
      <c r="AI49" s="147">
        <f t="shared" si="21"/>
        <v>-590</v>
      </c>
      <c r="AJ49" s="167">
        <f t="shared" si="32"/>
        <v>590</v>
      </c>
      <c r="AK49" s="236"/>
      <c r="AL49" s="243">
        <f t="shared" si="4"/>
        <v>0</v>
      </c>
      <c r="AM49" s="41"/>
    </row>
    <row r="50" spans="1:39" ht="12.75">
      <c r="A50" s="107" t="s">
        <v>14</v>
      </c>
      <c r="B50" s="43"/>
      <c r="C50" s="75"/>
      <c r="D50" s="76">
        <v>1</v>
      </c>
      <c r="E50" s="45">
        <f t="shared" si="22"/>
        <v>4100</v>
      </c>
      <c r="F50" s="45">
        <f t="shared" si="18"/>
        <v>205</v>
      </c>
      <c r="G50" s="86">
        <f t="shared" si="23"/>
        <v>350</v>
      </c>
      <c r="H50" s="88">
        <f t="shared" si="19"/>
        <v>35</v>
      </c>
      <c r="I50" s="46">
        <f t="shared" si="24"/>
        <v>4690</v>
      </c>
      <c r="J50" s="152">
        <f t="shared" si="25"/>
        <v>4690</v>
      </c>
      <c r="K50" s="152">
        <f>K4*D50</f>
        <v>4305</v>
      </c>
      <c r="L50" s="77">
        <v>4273</v>
      </c>
      <c r="M50" s="47" t="s">
        <v>96</v>
      </c>
      <c r="N50" s="78">
        <f t="shared" si="31"/>
        <v>-417</v>
      </c>
      <c r="O50" s="130">
        <f t="shared" si="26"/>
        <v>-32</v>
      </c>
      <c r="P50" s="96">
        <f t="shared" si="27"/>
        <v>4100</v>
      </c>
      <c r="Q50" s="51" t="s">
        <v>310</v>
      </c>
      <c r="R50" s="130">
        <f>-I50+P50</f>
        <v>-590</v>
      </c>
      <c r="S50" s="140"/>
      <c r="T50" s="113" t="s">
        <v>24</v>
      </c>
      <c r="U50" s="51"/>
      <c r="V50" s="157"/>
      <c r="W50" s="157" t="s">
        <v>165</v>
      </c>
      <c r="X50" s="162">
        <v>4000</v>
      </c>
      <c r="Y50" s="162">
        <f t="shared" si="28"/>
        <v>4100</v>
      </c>
      <c r="Z50" s="249">
        <v>4100</v>
      </c>
      <c r="AA50" s="162">
        <f>Z50+AE50+AF50+AG50</f>
        <v>4100</v>
      </c>
      <c r="AB50" s="147">
        <f t="shared" si="33"/>
        <v>-590</v>
      </c>
      <c r="AC50" s="147">
        <f t="shared" si="29"/>
        <v>-205</v>
      </c>
      <c r="AD50" s="147"/>
      <c r="AE50" s="147"/>
      <c r="AF50" s="147"/>
      <c r="AG50" s="147"/>
      <c r="AH50" s="167">
        <f t="shared" si="30"/>
        <v>4100</v>
      </c>
      <c r="AI50" s="147">
        <f t="shared" si="21"/>
        <v>-590</v>
      </c>
      <c r="AJ50" s="167">
        <f t="shared" si="32"/>
        <v>590</v>
      </c>
      <c r="AK50" s="236"/>
      <c r="AL50" s="243">
        <f t="shared" si="4"/>
        <v>0</v>
      </c>
      <c r="AM50" s="41"/>
    </row>
    <row r="51" spans="1:44" ht="12.75">
      <c r="A51" s="221" t="s">
        <v>341</v>
      </c>
      <c r="B51" s="43" t="s">
        <v>342</v>
      </c>
      <c r="C51" s="75"/>
      <c r="D51" s="76">
        <v>0.05</v>
      </c>
      <c r="E51" s="45">
        <f t="shared" si="22"/>
        <v>4100</v>
      </c>
      <c r="F51" s="45">
        <f t="shared" si="18"/>
        <v>205</v>
      </c>
      <c r="G51" s="86">
        <f t="shared" si="23"/>
        <v>350</v>
      </c>
      <c r="H51" s="88">
        <f t="shared" si="19"/>
        <v>35</v>
      </c>
      <c r="I51" s="46">
        <f>D51*(E51+F51+G51+H51)</f>
        <v>234.5</v>
      </c>
      <c r="J51" s="152">
        <f t="shared" si="25"/>
        <v>234.5</v>
      </c>
      <c r="K51" s="152"/>
      <c r="L51" s="77"/>
      <c r="M51" s="47"/>
      <c r="N51" s="78"/>
      <c r="O51" s="130"/>
      <c r="P51" s="96"/>
      <c r="Q51" s="51"/>
      <c r="R51" s="130"/>
      <c r="S51" s="140"/>
      <c r="T51" s="113"/>
      <c r="U51" s="51"/>
      <c r="V51" s="157"/>
      <c r="W51" s="157" t="s">
        <v>364</v>
      </c>
      <c r="X51" s="162"/>
      <c r="Y51" s="162"/>
      <c r="Z51" s="258"/>
      <c r="AA51" s="162">
        <f>Z51+AE51+AF51+AG51</f>
        <v>0</v>
      </c>
      <c r="AB51" s="147"/>
      <c r="AC51" s="147"/>
      <c r="AD51" s="147"/>
      <c r="AE51" s="147"/>
      <c r="AF51" s="147"/>
      <c r="AG51" s="147"/>
      <c r="AH51" s="167"/>
      <c r="AI51" s="147">
        <f t="shared" si="21"/>
        <v>0</v>
      </c>
      <c r="AJ51" s="167">
        <f t="shared" si="32"/>
        <v>234.5</v>
      </c>
      <c r="AK51" s="236"/>
      <c r="AL51" s="41"/>
      <c r="AM51" s="41"/>
      <c r="AR51" t="s">
        <v>272</v>
      </c>
    </row>
    <row r="52" spans="1:39" ht="12.75">
      <c r="A52" s="131" t="s">
        <v>1</v>
      </c>
      <c r="B52" s="132"/>
      <c r="C52" s="132"/>
      <c r="D52" s="133"/>
      <c r="E52" s="133"/>
      <c r="F52" s="133"/>
      <c r="G52" s="168"/>
      <c r="H52" s="169"/>
      <c r="I52" s="134" t="e">
        <f>SUM(I6:I51)</f>
        <v>#VALUE!</v>
      </c>
      <c r="J52" s="134"/>
      <c r="K52" s="134"/>
      <c r="L52" s="134">
        <f>SUM(L6:L51)</f>
        <v>1181591</v>
      </c>
      <c r="M52" s="135"/>
      <c r="N52" s="136" t="e">
        <f>SUM(N6:N51)</f>
        <v>#VALUE!</v>
      </c>
      <c r="O52" s="136"/>
      <c r="P52" s="135"/>
      <c r="Q52" s="137"/>
      <c r="R52" s="135"/>
      <c r="S52" s="138"/>
      <c r="T52" s="138"/>
      <c r="U52" s="137"/>
      <c r="V52" s="137"/>
      <c r="W52" s="137"/>
      <c r="X52" s="135">
        <f>SUM(X6:X51)</f>
        <v>34263</v>
      </c>
      <c r="Y52" s="135"/>
      <c r="Z52" s="135"/>
      <c r="AA52" s="135"/>
      <c r="AB52" s="139">
        <f>SUM(AB6:AB51)</f>
        <v>-544862.5</v>
      </c>
      <c r="AC52" s="139">
        <f>SUM(AC6:AC51)</f>
        <v>-512401.25</v>
      </c>
      <c r="AD52" s="139"/>
      <c r="AE52" s="139"/>
      <c r="AF52" s="139"/>
      <c r="AG52" s="139"/>
      <c r="AH52" s="135"/>
      <c r="AI52" s="139"/>
      <c r="AJ52" s="135"/>
      <c r="AK52" s="242"/>
      <c r="AL52" s="135"/>
      <c r="AM52" s="135"/>
    </row>
    <row r="53" spans="1:39" ht="14.25" customHeight="1">
      <c r="A53" s="8"/>
      <c r="B53" s="30"/>
      <c r="C53" s="30"/>
      <c r="D53" s="28"/>
      <c r="E53" s="28"/>
      <c r="F53" s="28"/>
      <c r="G53" s="149"/>
      <c r="H53" s="149"/>
      <c r="I53" s="5"/>
      <c r="J53" s="5"/>
      <c r="K53" s="5"/>
      <c r="L53" s="7"/>
      <c r="M53" s="6"/>
      <c r="N53" s="4"/>
      <c r="O53" s="4"/>
      <c r="P53" s="148"/>
      <c r="Q53" s="4"/>
      <c r="R53" s="23"/>
      <c r="S53" s="31"/>
      <c r="T53" s="31"/>
      <c r="U53" s="13"/>
      <c r="V53" s="161"/>
      <c r="W53" s="13"/>
      <c r="X53" s="23"/>
      <c r="Y53" s="23"/>
      <c r="Z53" s="23"/>
      <c r="AA53" s="23"/>
      <c r="AB53" s="4"/>
      <c r="AC53" s="4"/>
      <c r="AD53" s="4"/>
      <c r="AE53" s="4"/>
      <c r="AF53" s="4"/>
      <c r="AG53" s="4"/>
      <c r="AH53" s="21"/>
      <c r="AI53" s="4"/>
      <c r="AL53" s="13"/>
      <c r="AM53" s="9"/>
    </row>
    <row r="54" spans="1:39" ht="12.75">
      <c r="A54" s="1"/>
      <c r="B54" s="30"/>
      <c r="C54" s="30"/>
      <c r="D54" s="28"/>
      <c r="E54" s="28"/>
      <c r="F54" s="28"/>
      <c r="G54" s="149"/>
      <c r="H54" s="150"/>
      <c r="I54" s="5"/>
      <c r="J54" s="5"/>
      <c r="K54" s="5"/>
      <c r="L54" s="7"/>
      <c r="M54" s="7"/>
      <c r="N54" s="5"/>
      <c r="O54" s="5"/>
      <c r="P54" s="148"/>
      <c r="Q54" s="5"/>
      <c r="R54" s="23"/>
      <c r="S54" s="31"/>
      <c r="T54" s="31"/>
      <c r="U54" s="13"/>
      <c r="V54" s="161"/>
      <c r="W54" s="13"/>
      <c r="X54" s="23"/>
      <c r="Y54" s="23"/>
      <c r="Z54" s="23"/>
      <c r="AA54" s="23"/>
      <c r="AB54" s="5"/>
      <c r="AC54" s="5"/>
      <c r="AD54" s="5"/>
      <c r="AE54" s="5"/>
      <c r="AF54" s="5"/>
      <c r="AG54" s="5"/>
      <c r="AH54" s="22"/>
      <c r="AI54" s="5"/>
      <c r="AJ54" s="22"/>
      <c r="AK54" s="22"/>
      <c r="AL54" s="13"/>
      <c r="AM54" s="18"/>
    </row>
    <row r="55" spans="2:39" ht="12.75">
      <c r="B55" s="30"/>
      <c r="C55" s="30"/>
      <c r="D55" s="28"/>
      <c r="E55" s="28"/>
      <c r="F55" s="28"/>
      <c r="G55" s="149"/>
      <c r="H55" s="149"/>
      <c r="I55" s="5"/>
      <c r="J55" s="5"/>
      <c r="K55" s="5"/>
      <c r="L55" s="7"/>
      <c r="M55" s="6"/>
      <c r="N55" s="4"/>
      <c r="O55" s="4"/>
      <c r="P55" s="148"/>
      <c r="Q55" s="4"/>
      <c r="R55" s="23"/>
      <c r="S55" s="31"/>
      <c r="T55" s="31"/>
      <c r="U55" s="13"/>
      <c r="V55" s="161"/>
      <c r="W55" s="13"/>
      <c r="X55" s="23"/>
      <c r="Y55" s="23"/>
      <c r="Z55" s="23"/>
      <c r="AA55" s="23"/>
      <c r="AB55" s="4"/>
      <c r="AC55" s="4"/>
      <c r="AD55" s="4"/>
      <c r="AE55" s="4"/>
      <c r="AF55" s="4"/>
      <c r="AG55" s="4"/>
      <c r="AH55" s="21"/>
      <c r="AI55" s="4"/>
      <c r="AJ55" s="21"/>
      <c r="AK55" s="21"/>
      <c r="AL55" s="13"/>
      <c r="AM55" s="9"/>
    </row>
    <row r="56" spans="2:39" ht="12.75">
      <c r="B56" s="30"/>
      <c r="C56" s="30"/>
      <c r="D56" s="28"/>
      <c r="E56" s="28"/>
      <c r="F56" s="28"/>
      <c r="G56" s="149"/>
      <c r="H56" s="149"/>
      <c r="I56" s="5"/>
      <c r="J56" s="5"/>
      <c r="K56" s="5"/>
      <c r="L56" s="7"/>
      <c r="M56" s="6"/>
      <c r="N56" s="4"/>
      <c r="O56" s="4"/>
      <c r="P56" s="148"/>
      <c r="Q56" s="4"/>
      <c r="R56" s="23"/>
      <c r="S56" s="31"/>
      <c r="T56" s="31"/>
      <c r="U56" s="13"/>
      <c r="V56" s="161"/>
      <c r="W56" s="13"/>
      <c r="X56" s="23"/>
      <c r="Y56" s="23"/>
      <c r="Z56" s="23"/>
      <c r="AA56" s="23"/>
      <c r="AB56" s="4"/>
      <c r="AC56" s="4"/>
      <c r="AD56" s="4"/>
      <c r="AE56" s="4"/>
      <c r="AF56" s="4"/>
      <c r="AG56" s="4"/>
      <c r="AH56" s="21"/>
      <c r="AI56" s="4"/>
      <c r="AJ56" s="21"/>
      <c r="AK56" s="21"/>
      <c r="AL56" s="13"/>
      <c r="AM56" s="9"/>
    </row>
    <row r="57" spans="1:41" ht="67.5" customHeight="1">
      <c r="A57" s="33" t="s">
        <v>0</v>
      </c>
      <c r="B57" s="34" t="s">
        <v>6</v>
      </c>
      <c r="C57" s="34" t="s">
        <v>17</v>
      </c>
      <c r="D57" s="35" t="s">
        <v>39</v>
      </c>
      <c r="E57" s="35" t="s">
        <v>44</v>
      </c>
      <c r="F57" s="35" t="s">
        <v>43</v>
      </c>
      <c r="G57" s="35" t="s">
        <v>45</v>
      </c>
      <c r="H57" s="36" t="s">
        <v>42</v>
      </c>
      <c r="I57" s="37" t="s">
        <v>2</v>
      </c>
      <c r="J57" s="208" t="s">
        <v>335</v>
      </c>
      <c r="K57" s="154" t="s">
        <v>330</v>
      </c>
      <c r="L57" s="189" t="s">
        <v>4</v>
      </c>
      <c r="M57" s="33" t="s">
        <v>29</v>
      </c>
      <c r="N57" s="38" t="s">
        <v>122</v>
      </c>
      <c r="O57" s="187" t="s">
        <v>331</v>
      </c>
      <c r="P57" s="33" t="s">
        <v>30</v>
      </c>
      <c r="Q57" s="156" t="s">
        <v>332</v>
      </c>
      <c r="R57" s="33" t="s">
        <v>225</v>
      </c>
      <c r="S57" s="40" t="s">
        <v>16</v>
      </c>
      <c r="T57" s="40" t="s">
        <v>28</v>
      </c>
      <c r="U57" s="39" t="s">
        <v>118</v>
      </c>
      <c r="V57" s="156" t="s">
        <v>226</v>
      </c>
      <c r="W57" s="156" t="s">
        <v>162</v>
      </c>
      <c r="X57" s="165" t="s">
        <v>117</v>
      </c>
      <c r="Y57" s="165" t="s">
        <v>245</v>
      </c>
      <c r="Z57" s="165" t="s">
        <v>416</v>
      </c>
      <c r="AA57" s="216" t="s">
        <v>354</v>
      </c>
      <c r="AB57" s="229" t="s">
        <v>393</v>
      </c>
      <c r="AC57" s="166" t="s">
        <v>377</v>
      </c>
      <c r="AD57" s="217" t="s">
        <v>360</v>
      </c>
      <c r="AE57" s="166"/>
      <c r="AF57" s="166"/>
      <c r="AG57" s="166" t="s">
        <v>261</v>
      </c>
      <c r="AH57" s="165" t="s">
        <v>356</v>
      </c>
      <c r="AI57" s="166" t="s">
        <v>355</v>
      </c>
      <c r="AJ57" s="209" t="s">
        <v>338</v>
      </c>
      <c r="AK57" s="254" t="s">
        <v>384</v>
      </c>
      <c r="AL57" s="218" t="s">
        <v>333</v>
      </c>
      <c r="AM57" s="190" t="s">
        <v>300</v>
      </c>
      <c r="AN57" s="190" t="s">
        <v>334</v>
      </c>
      <c r="AO57" s="218" t="s">
        <v>357</v>
      </c>
    </row>
    <row r="58" spans="2:39" ht="12.75">
      <c r="B58" s="30"/>
      <c r="C58" s="30"/>
      <c r="D58" s="28"/>
      <c r="E58" s="28"/>
      <c r="F58" s="28"/>
      <c r="G58" s="149"/>
      <c r="H58" s="149"/>
      <c r="I58" s="5"/>
      <c r="J58" s="5"/>
      <c r="K58" s="5"/>
      <c r="L58" s="7"/>
      <c r="M58" s="6"/>
      <c r="N58" s="4"/>
      <c r="O58" s="4"/>
      <c r="P58" s="148"/>
      <c r="Q58" s="4"/>
      <c r="R58" s="23"/>
      <c r="S58" s="31"/>
      <c r="T58" s="31"/>
      <c r="U58" s="13"/>
      <c r="V58" s="161"/>
      <c r="W58" s="13"/>
      <c r="X58" s="23"/>
      <c r="Y58" s="23"/>
      <c r="Z58" s="220" t="s">
        <v>359</v>
      </c>
      <c r="AA58" s="23"/>
      <c r="AB58" s="223"/>
      <c r="AC58" s="223" t="s">
        <v>361</v>
      </c>
      <c r="AD58" s="220" t="s">
        <v>359</v>
      </c>
      <c r="AE58" s="4"/>
      <c r="AF58" s="4"/>
      <c r="AG58" s="4"/>
      <c r="AH58" s="21"/>
      <c r="AI58" s="4"/>
      <c r="AJ58" s="21"/>
      <c r="AK58" s="252" t="s">
        <v>394</v>
      </c>
      <c r="AL58" s="219"/>
      <c r="AM58" s="8"/>
    </row>
    <row r="59" spans="1:40" ht="12.75">
      <c r="A59" s="101" t="s">
        <v>18</v>
      </c>
      <c r="B59" s="63"/>
      <c r="C59" s="64"/>
      <c r="D59" s="65"/>
      <c r="E59" s="65"/>
      <c r="F59" s="65"/>
      <c r="G59" s="65"/>
      <c r="H59" s="66"/>
      <c r="I59" s="67"/>
      <c r="J59" s="67"/>
      <c r="K59" s="67"/>
      <c r="L59" s="68"/>
      <c r="M59" s="68"/>
      <c r="N59" s="67"/>
      <c r="O59" s="67">
        <f>-K59+L59</f>
        <v>0</v>
      </c>
      <c r="P59" s="103"/>
      <c r="Q59" s="67"/>
      <c r="R59" s="103"/>
      <c r="S59" s="71"/>
      <c r="T59" s="71"/>
      <c r="U59" s="72"/>
      <c r="V59" s="72"/>
      <c r="W59" s="72"/>
      <c r="X59" s="70"/>
      <c r="Y59" s="70"/>
      <c r="Z59" s="70"/>
      <c r="AA59" s="70"/>
      <c r="AB59" s="67"/>
      <c r="AC59" s="67"/>
      <c r="AD59" s="67"/>
      <c r="AE59" s="67"/>
      <c r="AF59" s="67"/>
      <c r="AG59" s="67"/>
      <c r="AH59" s="104"/>
      <c r="AI59" s="67"/>
      <c r="AJ59" s="104"/>
      <c r="AK59" s="104"/>
      <c r="AL59" s="72"/>
      <c r="AM59" s="10"/>
      <c r="AN59" s="10"/>
    </row>
    <row r="60" spans="1:40" ht="12.75">
      <c r="A60" s="74" t="s">
        <v>82</v>
      </c>
      <c r="B60" s="43" t="s">
        <v>71</v>
      </c>
      <c r="C60" s="59" t="s">
        <v>83</v>
      </c>
      <c r="D60" s="44">
        <v>1</v>
      </c>
      <c r="E60" s="207">
        <f>$E$4-(480)</f>
        <v>3620</v>
      </c>
      <c r="F60" s="207">
        <v>250</v>
      </c>
      <c r="G60" s="86"/>
      <c r="H60" s="88"/>
      <c r="I60" s="46">
        <f aca="true" t="shared" si="34" ref="I60:I68">D60*(E60+F60+G60+H60)</f>
        <v>3870</v>
      </c>
      <c r="J60" s="152">
        <f>I60</f>
        <v>3870</v>
      </c>
      <c r="K60" s="152" t="e">
        <f>#REF!*D60</f>
        <v>#REF!</v>
      </c>
      <c r="L60" s="46">
        <f>3560+50</f>
        <v>3610</v>
      </c>
      <c r="M60" s="47" t="s">
        <v>95</v>
      </c>
      <c r="N60" s="78">
        <f>-I60+L60</f>
        <v>-260</v>
      </c>
      <c r="O60" s="130" t="e">
        <f>-K60+L60</f>
        <v>#REF!</v>
      </c>
      <c r="P60" s="130">
        <f>8+435+532+AD60</f>
        <v>2564</v>
      </c>
      <c r="Q60" s="89" t="s">
        <v>251</v>
      </c>
      <c r="R60" s="196">
        <f>-I60+P60</f>
        <v>-1306</v>
      </c>
      <c r="S60" s="50"/>
      <c r="T60" s="50" t="s">
        <v>91</v>
      </c>
      <c r="U60" s="89" t="s">
        <v>41</v>
      </c>
      <c r="V60" s="157" t="s">
        <v>227</v>
      </c>
      <c r="W60" s="157" t="s">
        <v>319</v>
      </c>
      <c r="X60" s="162">
        <v>2</v>
      </c>
      <c r="Y60" s="162">
        <f>V60+W60+X60</f>
        <v>2004</v>
      </c>
      <c r="Z60" s="249">
        <v>2000</v>
      </c>
      <c r="AB60" s="162">
        <f>AG60+AH60+500</f>
        <v>4098</v>
      </c>
      <c r="AC60" s="202">
        <f>(3+2)</f>
        <v>5</v>
      </c>
      <c r="AD60" s="260">
        <v>1589</v>
      </c>
      <c r="AE60" s="255">
        <f>AB60/500</f>
        <v>8.196</v>
      </c>
      <c r="AF60" s="91"/>
      <c r="AG60" s="172">
        <f>(AC60+AD60)/D60</f>
        <v>1594</v>
      </c>
      <c r="AH60" s="96">
        <f>Y60/D60</f>
        <v>2004</v>
      </c>
      <c r="AI60" s="172">
        <f>AG60-AH60+500</f>
        <v>90</v>
      </c>
      <c r="AJ60" s="88">
        <f>J60-(AB60*D60)</f>
        <v>-228</v>
      </c>
      <c r="AK60" s="249">
        <v>500</v>
      </c>
      <c r="AL60" s="176" t="s">
        <v>262</v>
      </c>
      <c r="AM60" s="205">
        <f>AH60+AL60+550</f>
        <v>3069</v>
      </c>
      <c r="AN60" s="172">
        <f>AM60-4305</f>
        <v>-1236</v>
      </c>
    </row>
    <row r="61" spans="1:40" ht="12.75">
      <c r="A61" s="74" t="s">
        <v>3</v>
      </c>
      <c r="B61" s="43" t="s">
        <v>56</v>
      </c>
      <c r="C61" s="59" t="s">
        <v>7</v>
      </c>
      <c r="D61" s="60">
        <v>2</v>
      </c>
      <c r="E61" s="45">
        <f>$E$4</f>
        <v>4100</v>
      </c>
      <c r="F61" s="207">
        <v>250</v>
      </c>
      <c r="G61" s="86">
        <f>$G$4</f>
        <v>350</v>
      </c>
      <c r="H61" s="88">
        <f>$G61*10/100</f>
        <v>35</v>
      </c>
      <c r="I61" s="46">
        <f>D61*(E61+F61+G61+H61)</f>
        <v>9470</v>
      </c>
      <c r="J61" s="152">
        <f>I61-480*D61</f>
        <v>8510</v>
      </c>
      <c r="K61" s="152">
        <f>(E61+F61-480)*D61</f>
        <v>7740</v>
      </c>
      <c r="L61" s="46">
        <f>7420+20</f>
        <v>7440</v>
      </c>
      <c r="M61" s="47" t="s">
        <v>95</v>
      </c>
      <c r="N61" s="78">
        <f>-I61+L61</f>
        <v>-2030</v>
      </c>
      <c r="O61" s="130">
        <f>-K61+L61</f>
        <v>-300</v>
      </c>
      <c r="P61" s="130">
        <f>7420-206</f>
        <v>7214</v>
      </c>
      <c r="Q61" s="89" t="s">
        <v>252</v>
      </c>
      <c r="R61" s="196">
        <f>-I61+P61</f>
        <v>-2256</v>
      </c>
      <c r="S61" s="50" t="s">
        <v>31</v>
      </c>
      <c r="T61" s="50" t="s">
        <v>106</v>
      </c>
      <c r="U61" s="89" t="s">
        <v>272</v>
      </c>
      <c r="V61" s="157" t="s">
        <v>244</v>
      </c>
      <c r="W61" s="157" t="s">
        <v>320</v>
      </c>
      <c r="X61" s="162">
        <v>4</v>
      </c>
      <c r="Y61" s="88">
        <f>V61+W61+X61</f>
        <v>4004</v>
      </c>
      <c r="Z61" s="249">
        <v>4000</v>
      </c>
      <c r="AB61" s="162">
        <f>AG61+AH61+500+103</f>
        <v>3698</v>
      </c>
      <c r="AC61" s="91"/>
      <c r="AD61" s="260">
        <v>2186</v>
      </c>
      <c r="AE61" s="255">
        <f aca="true" t="shared" si="35" ref="AE61:AE67">AB61/500</f>
        <v>7.396</v>
      </c>
      <c r="AF61" s="91"/>
      <c r="AG61" s="172">
        <f>(AC61+AD61)/D61</f>
        <v>1093</v>
      </c>
      <c r="AH61" s="96">
        <f>Y61/D61</f>
        <v>2002</v>
      </c>
      <c r="AI61" s="172">
        <f>AG61-AH61+500</f>
        <v>-409</v>
      </c>
      <c r="AJ61" s="88">
        <f>J61-(AB61*D61)</f>
        <v>1114</v>
      </c>
      <c r="AK61" s="253">
        <v>2240</v>
      </c>
      <c r="AL61" s="176" t="s">
        <v>262</v>
      </c>
      <c r="AM61" s="205">
        <f>AH61+AL61+550</f>
        <v>3067</v>
      </c>
      <c r="AN61" s="172">
        <f>AM61-4305</f>
        <v>-1238</v>
      </c>
    </row>
    <row r="62" spans="1:40" s="15" customFormat="1" ht="12.75">
      <c r="A62" s="99" t="s">
        <v>340</v>
      </c>
      <c r="B62" s="83" t="s">
        <v>71</v>
      </c>
      <c r="C62" s="97" t="s">
        <v>83</v>
      </c>
      <c r="D62" s="84">
        <v>1</v>
      </c>
      <c r="E62" s="203"/>
      <c r="F62" s="203"/>
      <c r="G62" s="86">
        <f>$G$4</f>
        <v>350</v>
      </c>
      <c r="H62" s="88">
        <f>$G62*10/100</f>
        <v>35</v>
      </c>
      <c r="I62" s="87">
        <f t="shared" si="34"/>
        <v>385</v>
      </c>
      <c r="J62" s="87">
        <f>I62</f>
        <v>385</v>
      </c>
      <c r="K62" s="87"/>
      <c r="L62" s="87"/>
      <c r="M62" s="88"/>
      <c r="N62" s="130"/>
      <c r="O62" s="130"/>
      <c r="P62" s="130"/>
      <c r="Q62" s="89"/>
      <c r="R62" s="130"/>
      <c r="S62" s="90"/>
      <c r="T62" s="90"/>
      <c r="U62" s="89"/>
      <c r="V62" s="89"/>
      <c r="W62" s="89"/>
      <c r="X62" s="88"/>
      <c r="Y62" s="88"/>
      <c r="Z62" s="88"/>
      <c r="AB62" s="162"/>
      <c r="AC62" s="91"/>
      <c r="AD62" s="91"/>
      <c r="AE62" s="255"/>
      <c r="AF62" s="91"/>
      <c r="AG62" s="91"/>
      <c r="AH62" s="88"/>
      <c r="AI62" s="91"/>
      <c r="AJ62" s="88"/>
      <c r="AK62" s="88"/>
      <c r="AL62" s="89"/>
      <c r="AM62" s="214"/>
      <c r="AN62" s="91"/>
    </row>
    <row r="63" spans="1:40" ht="12.75">
      <c r="A63" s="74" t="s">
        <v>90</v>
      </c>
      <c r="B63" s="43" t="s">
        <v>89</v>
      </c>
      <c r="C63" s="43" t="s">
        <v>19</v>
      </c>
      <c r="D63" s="44">
        <v>1</v>
      </c>
      <c r="E63" s="45">
        <f>$E$4</f>
        <v>4100</v>
      </c>
      <c r="F63" s="207">
        <v>250</v>
      </c>
      <c r="G63" s="86">
        <f>$G$4</f>
        <v>350</v>
      </c>
      <c r="H63" s="88">
        <f>$G63*10/100</f>
        <v>35</v>
      </c>
      <c r="I63" s="46">
        <f t="shared" si="34"/>
        <v>4735</v>
      </c>
      <c r="J63" s="152">
        <f>I63-480*D63</f>
        <v>4255</v>
      </c>
      <c r="K63" s="152">
        <f>K33*D63</f>
        <v>0</v>
      </c>
      <c r="L63" s="46">
        <v>4110</v>
      </c>
      <c r="M63" s="47" t="s">
        <v>94</v>
      </c>
      <c r="N63" s="78">
        <f>-I63+L63</f>
        <v>-625</v>
      </c>
      <c r="O63" s="130">
        <f>-K63+L63-480*D63</f>
        <v>3630</v>
      </c>
      <c r="P63" s="88">
        <f>AD63+4110</f>
        <v>5410</v>
      </c>
      <c r="Q63" s="89" t="s">
        <v>253</v>
      </c>
      <c r="R63" s="196">
        <f>-I63+P63</f>
        <v>675</v>
      </c>
      <c r="S63" s="141"/>
      <c r="T63" s="141" t="s">
        <v>94</v>
      </c>
      <c r="U63" s="49"/>
      <c r="V63" s="157"/>
      <c r="W63" s="157" t="s">
        <v>321</v>
      </c>
      <c r="X63" s="162">
        <v>2</v>
      </c>
      <c r="Y63" s="162">
        <f>V63+W63+X63</f>
        <v>2012</v>
      </c>
      <c r="Z63" s="249">
        <v>2010</v>
      </c>
      <c r="AB63" s="162">
        <f>AG63+AH63+500</f>
        <v>3812</v>
      </c>
      <c r="AC63" s="91"/>
      <c r="AD63" s="260">
        <v>1300</v>
      </c>
      <c r="AE63" s="255">
        <f t="shared" si="35"/>
        <v>7.624</v>
      </c>
      <c r="AF63" s="91"/>
      <c r="AG63" s="172">
        <f>(AC63+AD63)/D63</f>
        <v>1300</v>
      </c>
      <c r="AH63" s="96">
        <f>Y63/D63</f>
        <v>2012</v>
      </c>
      <c r="AI63" s="172">
        <f>AG63-AH63+500</f>
        <v>-212</v>
      </c>
      <c r="AJ63" s="88">
        <f>J63-(AB63*D63)</f>
        <v>443</v>
      </c>
      <c r="AK63" s="96"/>
      <c r="AL63" s="176" t="s">
        <v>262</v>
      </c>
      <c r="AM63" s="205">
        <f>AH63+AL63+550</f>
        <v>3077</v>
      </c>
      <c r="AN63" s="172">
        <f>AM63-4305</f>
        <v>-1228</v>
      </c>
    </row>
    <row r="64" spans="1:40" ht="12.75">
      <c r="A64" s="74" t="s">
        <v>153</v>
      </c>
      <c r="B64" s="108" t="s">
        <v>80</v>
      </c>
      <c r="C64" s="59" t="s">
        <v>79</v>
      </c>
      <c r="D64" s="44">
        <v>2</v>
      </c>
      <c r="E64" s="45">
        <f>$E$4</f>
        <v>4100</v>
      </c>
      <c r="F64" s="207">
        <v>250</v>
      </c>
      <c r="G64" s="86"/>
      <c r="H64" s="85"/>
      <c r="I64" s="46">
        <f t="shared" si="34"/>
        <v>8700</v>
      </c>
      <c r="J64" s="152">
        <f>I64-480*D64</f>
        <v>7740</v>
      </c>
      <c r="K64" s="152">
        <f>4020*D64</f>
        <v>8040</v>
      </c>
      <c r="L64" s="77">
        <f>3250*2</f>
        <v>6500</v>
      </c>
      <c r="M64" s="47" t="s">
        <v>95</v>
      </c>
      <c r="N64" s="78">
        <f>-I64+L64</f>
        <v>-2200</v>
      </c>
      <c r="O64" s="130">
        <f>-K64+L64-480*D64</f>
        <v>-2500</v>
      </c>
      <c r="P64" s="88">
        <f>AD64+6460</f>
        <v>8550</v>
      </c>
      <c r="Q64" s="51" t="s">
        <v>252</v>
      </c>
      <c r="R64" s="171">
        <f>-I64+P64</f>
        <v>-150</v>
      </c>
      <c r="S64" s="140" t="s">
        <v>31</v>
      </c>
      <c r="T64" s="50" t="s">
        <v>154</v>
      </c>
      <c r="U64" s="51"/>
      <c r="V64" s="157"/>
      <c r="W64" s="157" t="s">
        <v>320</v>
      </c>
      <c r="X64" s="162">
        <v>4</v>
      </c>
      <c r="Y64" s="162">
        <f>V64+W64+X64</f>
        <v>4004</v>
      </c>
      <c r="Z64" s="249">
        <v>4000</v>
      </c>
      <c r="AB64" s="162">
        <f>AG64+AH64+500</f>
        <v>3592</v>
      </c>
      <c r="AC64" s="224">
        <f>(85+5)</f>
        <v>90</v>
      </c>
      <c r="AD64" s="260">
        <v>2090</v>
      </c>
      <c r="AE64" s="255">
        <f t="shared" si="35"/>
        <v>7.184</v>
      </c>
      <c r="AF64" s="91"/>
      <c r="AG64" s="172">
        <f>(AC64+AD64)/D64</f>
        <v>1090</v>
      </c>
      <c r="AH64" s="96">
        <f>Y64/D64</f>
        <v>2002</v>
      </c>
      <c r="AI64" s="172">
        <f>AG64-AH64+500</f>
        <v>-412</v>
      </c>
      <c r="AJ64" s="88">
        <f>J64-(AB64*D64)</f>
        <v>556</v>
      </c>
      <c r="AK64" s="249">
        <v>1900</v>
      </c>
      <c r="AL64" s="176" t="s">
        <v>262</v>
      </c>
      <c r="AM64" s="205">
        <f>AH64+AL64+550</f>
        <v>3067</v>
      </c>
      <c r="AN64" s="172">
        <f>AM64-4305</f>
        <v>-1238</v>
      </c>
    </row>
    <row r="65" spans="1:38" s="15" customFormat="1" ht="12.75">
      <c r="A65" s="99" t="s">
        <v>152</v>
      </c>
      <c r="B65" s="127" t="s">
        <v>80</v>
      </c>
      <c r="C65" s="97" t="s">
        <v>79</v>
      </c>
      <c r="D65" s="84">
        <v>2</v>
      </c>
      <c r="E65" s="215">
        <v>0</v>
      </c>
      <c r="F65" s="85">
        <v>0</v>
      </c>
      <c r="G65" s="86">
        <v>0</v>
      </c>
      <c r="H65" s="88">
        <v>0</v>
      </c>
      <c r="I65" s="87">
        <f t="shared" si="34"/>
        <v>0</v>
      </c>
      <c r="J65" s="87"/>
      <c r="K65" s="87"/>
      <c r="L65" s="87">
        <f>310*2</f>
        <v>620</v>
      </c>
      <c r="M65" s="88" t="s">
        <v>95</v>
      </c>
      <c r="N65" s="78">
        <f>-I65+L65</f>
        <v>620</v>
      </c>
      <c r="O65" s="130"/>
      <c r="P65" s="88">
        <v>605</v>
      </c>
      <c r="Q65" s="89"/>
      <c r="R65" s="130">
        <f>-I65+P65</f>
        <v>605</v>
      </c>
      <c r="S65" s="90" t="s">
        <v>31</v>
      </c>
      <c r="T65" s="90" t="s">
        <v>154</v>
      </c>
      <c r="U65" s="89"/>
      <c r="V65" s="89"/>
      <c r="W65" s="89"/>
      <c r="X65" s="88"/>
      <c r="Y65" s="88"/>
      <c r="Z65" s="88"/>
      <c r="AB65" s="162"/>
      <c r="AC65" s="91"/>
      <c r="AD65" s="91"/>
      <c r="AE65" s="255"/>
      <c r="AF65" s="91"/>
      <c r="AG65" s="91"/>
      <c r="AH65" s="88"/>
      <c r="AI65" s="91"/>
      <c r="AJ65" s="88"/>
      <c r="AK65" s="88"/>
      <c r="AL65" s="89"/>
    </row>
    <row r="66" spans="1:40" ht="12.75">
      <c r="A66" s="74" t="s">
        <v>81</v>
      </c>
      <c r="B66" s="108" t="s">
        <v>80</v>
      </c>
      <c r="C66" s="59" t="s">
        <v>79</v>
      </c>
      <c r="D66" s="44">
        <v>2</v>
      </c>
      <c r="E66" s="45">
        <f>$E$4</f>
        <v>4100</v>
      </c>
      <c r="F66" s="207">
        <v>250</v>
      </c>
      <c r="G66" s="86"/>
      <c r="H66" s="88"/>
      <c r="I66" s="46">
        <f t="shared" si="34"/>
        <v>8700</v>
      </c>
      <c r="J66" s="152">
        <f>I66-480*D66</f>
        <v>7740</v>
      </c>
      <c r="K66" s="152">
        <f>4020*D66</f>
        <v>8040</v>
      </c>
      <c r="L66" s="77">
        <f>3560*2</f>
        <v>7120</v>
      </c>
      <c r="M66" s="47" t="s">
        <v>95</v>
      </c>
      <c r="N66" s="78">
        <f>-I66+L66</f>
        <v>-1580</v>
      </c>
      <c r="O66" s="130">
        <f>-K66+L66-480*D66</f>
        <v>-1880</v>
      </c>
      <c r="P66" s="88">
        <f>AD66+13164</f>
        <v>15139</v>
      </c>
      <c r="Q66" s="51" t="s">
        <v>312</v>
      </c>
      <c r="R66" s="196">
        <f>-I66+P66</f>
        <v>6439</v>
      </c>
      <c r="S66" s="140" t="s">
        <v>31</v>
      </c>
      <c r="T66" s="50" t="s">
        <v>154</v>
      </c>
      <c r="U66" s="51"/>
      <c r="V66" s="157"/>
      <c r="W66" s="157" t="s">
        <v>320</v>
      </c>
      <c r="X66" s="162">
        <v>4</v>
      </c>
      <c r="Y66" s="162">
        <f>V66+W66+X66</f>
        <v>4004</v>
      </c>
      <c r="Z66" s="249">
        <v>3915</v>
      </c>
      <c r="AB66" s="162">
        <f>AG66+AH66+500</f>
        <v>3489.5</v>
      </c>
      <c r="AC66" s="91"/>
      <c r="AD66" s="260">
        <v>1975</v>
      </c>
      <c r="AE66" s="255">
        <f t="shared" si="35"/>
        <v>6.979</v>
      </c>
      <c r="AF66" s="91"/>
      <c r="AG66" s="172">
        <f>(AC66+AD66)/D66</f>
        <v>987.5</v>
      </c>
      <c r="AH66" s="96">
        <f>Y66/D66</f>
        <v>2002</v>
      </c>
      <c r="AI66" s="172">
        <f>AG66-AH66+500</f>
        <v>-514.5</v>
      </c>
      <c r="AJ66" s="88">
        <f>J66-(AB66*D66)</f>
        <v>761</v>
      </c>
      <c r="AK66" s="249">
        <v>2300</v>
      </c>
      <c r="AL66" s="176" t="s">
        <v>262</v>
      </c>
      <c r="AM66" s="205">
        <f>AH66+AL66+550</f>
        <v>3067</v>
      </c>
      <c r="AN66" s="172">
        <f>AM66-4305</f>
        <v>-1238</v>
      </c>
    </row>
    <row r="67" spans="1:40" ht="12.75">
      <c r="A67" s="109" t="s">
        <v>337</v>
      </c>
      <c r="B67" s="108" t="s">
        <v>80</v>
      </c>
      <c r="C67" s="59" t="s">
        <v>79</v>
      </c>
      <c r="D67" s="110">
        <v>3</v>
      </c>
      <c r="E67" s="45">
        <f>$E$4</f>
        <v>4100</v>
      </c>
      <c r="F67" s="207">
        <v>250</v>
      </c>
      <c r="G67" s="86">
        <f>$G$4</f>
        <v>350</v>
      </c>
      <c r="H67" s="88">
        <f>$G67*10/100</f>
        <v>35</v>
      </c>
      <c r="I67" s="46">
        <f t="shared" si="34"/>
        <v>14205</v>
      </c>
      <c r="J67" s="152">
        <f>I67-480*D67</f>
        <v>12765</v>
      </c>
      <c r="K67" s="152">
        <f>4020*D67</f>
        <v>12060</v>
      </c>
      <c r="L67" s="111">
        <f>3560*3</f>
        <v>10680</v>
      </c>
      <c r="M67" s="47" t="s">
        <v>95</v>
      </c>
      <c r="N67" s="78">
        <f>-I67+L67</f>
        <v>-3525</v>
      </c>
      <c r="O67" s="130">
        <f>-K67+L67-480*D67</f>
        <v>-2820</v>
      </c>
      <c r="P67" s="88">
        <f>AC67+10658</f>
        <v>11300</v>
      </c>
      <c r="Q67" s="51" t="s">
        <v>254</v>
      </c>
      <c r="R67" s="196">
        <f>-I67+P67</f>
        <v>-2905</v>
      </c>
      <c r="S67" s="140" t="s">
        <v>31</v>
      </c>
      <c r="T67" s="113" t="s">
        <v>154</v>
      </c>
      <c r="U67" s="112"/>
      <c r="V67" s="158" t="s">
        <v>244</v>
      </c>
      <c r="W67" s="158" t="s">
        <v>322</v>
      </c>
      <c r="X67" s="164">
        <v>6</v>
      </c>
      <c r="Y67" s="162">
        <f>V67+W67+X67</f>
        <v>5706</v>
      </c>
      <c r="Z67" s="249">
        <v>5700</v>
      </c>
      <c r="AB67" s="162">
        <f>AG67+AH67+500</f>
        <v>3642.666666666667</v>
      </c>
      <c r="AC67" s="224">
        <f>(612+30)</f>
        <v>642</v>
      </c>
      <c r="AD67" s="143">
        <v>3080</v>
      </c>
      <c r="AE67" s="255">
        <f t="shared" si="35"/>
        <v>7.285333333333334</v>
      </c>
      <c r="AG67" s="172">
        <f>(AC67+AD67)/D67</f>
        <v>1240.6666666666667</v>
      </c>
      <c r="AH67" s="96">
        <f>Y67/D67</f>
        <v>1902</v>
      </c>
      <c r="AI67" s="172">
        <f>AG67-AH67+500</f>
        <v>-161.33333333333326</v>
      </c>
      <c r="AJ67" s="88">
        <f>J67-(AB67*D67)</f>
        <v>1837</v>
      </c>
      <c r="AK67" s="249">
        <v>5500</v>
      </c>
      <c r="AL67" s="177" t="s">
        <v>262</v>
      </c>
      <c r="AM67" s="205">
        <f>AH67+AL67+550</f>
        <v>2967</v>
      </c>
      <c r="AN67" s="172">
        <f>AM67-4305</f>
        <v>-1338</v>
      </c>
    </row>
    <row r="68" spans="1:40" s="15" customFormat="1" ht="12.75">
      <c r="A68" s="210" t="s">
        <v>339</v>
      </c>
      <c r="B68" s="127" t="s">
        <v>80</v>
      </c>
      <c r="C68" s="97" t="s">
        <v>79</v>
      </c>
      <c r="D68" s="211">
        <v>4</v>
      </c>
      <c r="E68" s="203"/>
      <c r="F68" s="85"/>
      <c r="G68" s="86">
        <f>$G$4</f>
        <v>350</v>
      </c>
      <c r="H68" s="88">
        <f>$G68*10/100</f>
        <v>35</v>
      </c>
      <c r="I68" s="87">
        <f t="shared" si="34"/>
        <v>1540</v>
      </c>
      <c r="J68" s="87"/>
      <c r="K68" s="87"/>
      <c r="L68" s="212"/>
      <c r="M68" s="88"/>
      <c r="N68" s="130"/>
      <c r="O68" s="130"/>
      <c r="P68" s="88"/>
      <c r="Q68" s="89"/>
      <c r="R68" s="130"/>
      <c r="S68" s="90"/>
      <c r="T68" s="113"/>
      <c r="U68" s="112"/>
      <c r="V68" s="112"/>
      <c r="W68" s="112"/>
      <c r="X68" s="213"/>
      <c r="Y68" s="88"/>
      <c r="Z68" s="88"/>
      <c r="AB68" s="162"/>
      <c r="AC68" s="114"/>
      <c r="AD68" s="114"/>
      <c r="AE68" s="255"/>
      <c r="AF68" s="114"/>
      <c r="AG68" s="91"/>
      <c r="AH68" s="88"/>
      <c r="AI68" s="91"/>
      <c r="AJ68" s="88"/>
      <c r="AK68" s="88"/>
      <c r="AL68" s="112"/>
      <c r="AM68" s="214"/>
      <c r="AN68" s="91"/>
    </row>
    <row r="69" spans="2:39" ht="12.75">
      <c r="B69" s="30"/>
      <c r="C69" s="30"/>
      <c r="D69" s="29"/>
      <c r="E69" s="29"/>
      <c r="F69" s="29"/>
      <c r="G69" s="29"/>
      <c r="H69" s="149"/>
      <c r="I69" s="5"/>
      <c r="J69" s="5"/>
      <c r="K69" s="5"/>
      <c r="L69" s="7"/>
      <c r="M69" s="6"/>
      <c r="N69" s="4"/>
      <c r="O69" s="4"/>
      <c r="P69" s="148"/>
      <c r="Q69" s="4"/>
      <c r="R69" s="23"/>
      <c r="S69" s="31"/>
      <c r="T69" s="31"/>
      <c r="U69" s="13"/>
      <c r="V69" s="161"/>
      <c r="W69" s="13"/>
      <c r="X69" s="23"/>
      <c r="Y69" s="23"/>
      <c r="Z69" s="23"/>
      <c r="AA69" s="23"/>
      <c r="AB69" s="4"/>
      <c r="AC69" s="4"/>
      <c r="AD69" s="4"/>
      <c r="AE69" s="4"/>
      <c r="AF69" s="4"/>
      <c r="AG69" s="4"/>
      <c r="AH69" s="21"/>
      <c r="AI69" s="4"/>
      <c r="AJ69" s="21"/>
      <c r="AK69" s="21"/>
      <c r="AL69" s="13"/>
      <c r="AM69" s="8"/>
    </row>
    <row r="70" spans="1:39" ht="12.75">
      <c r="A70" s="1"/>
      <c r="B70" s="30"/>
      <c r="C70" s="30"/>
      <c r="D70" s="28"/>
      <c r="E70" s="28"/>
      <c r="F70" s="28"/>
      <c r="G70" s="149"/>
      <c r="H70" s="149"/>
      <c r="I70" s="5"/>
      <c r="J70" s="5"/>
      <c r="K70" s="5"/>
      <c r="L70" s="7"/>
      <c r="M70" s="6"/>
      <c r="N70" s="4"/>
      <c r="O70" s="4"/>
      <c r="P70" s="148"/>
      <c r="Q70" s="4"/>
      <c r="R70" s="23"/>
      <c r="S70" s="31"/>
      <c r="T70" s="31"/>
      <c r="U70" s="13"/>
      <c r="V70" s="161"/>
      <c r="W70" s="13"/>
      <c r="X70" s="23"/>
      <c r="Y70" s="23"/>
      <c r="Z70" s="23"/>
      <c r="AA70" s="23"/>
      <c r="AB70" s="4"/>
      <c r="AC70" s="4"/>
      <c r="AD70" s="4"/>
      <c r="AE70" s="4"/>
      <c r="AF70" s="4"/>
      <c r="AG70" s="4"/>
      <c r="AH70" s="21"/>
      <c r="AI70" s="4"/>
      <c r="AJ70" s="21"/>
      <c r="AK70" s="21"/>
      <c r="AL70" s="13"/>
      <c r="AM70" s="8"/>
    </row>
    <row r="71" spans="2:39" ht="12.75">
      <c r="B71" s="30"/>
      <c r="C71" s="30"/>
      <c r="D71" s="28"/>
      <c r="E71" s="28"/>
      <c r="F71" s="28"/>
      <c r="G71" s="149"/>
      <c r="H71" s="149"/>
      <c r="I71" s="5"/>
      <c r="J71" s="5"/>
      <c r="K71" s="5"/>
      <c r="L71" s="7"/>
      <c r="M71" s="6"/>
      <c r="N71" s="4"/>
      <c r="O71" s="4"/>
      <c r="P71" s="148"/>
      <c r="Q71" s="4"/>
      <c r="R71" s="23"/>
      <c r="S71" s="31"/>
      <c r="T71" s="31"/>
      <c r="U71" s="13"/>
      <c r="V71" s="161"/>
      <c r="W71" s="13"/>
      <c r="X71" s="23"/>
      <c r="Y71" s="23"/>
      <c r="Z71" s="23"/>
      <c r="AA71" s="23"/>
      <c r="AB71" s="4"/>
      <c r="AC71" s="4"/>
      <c r="AD71" s="4"/>
      <c r="AE71" s="4"/>
      <c r="AF71" s="4"/>
      <c r="AG71" s="4"/>
      <c r="AH71" s="21"/>
      <c r="AI71" s="4"/>
      <c r="AJ71" s="21"/>
      <c r="AK71" s="21"/>
      <c r="AL71" s="13"/>
      <c r="AM71" s="8"/>
    </row>
    <row r="72" spans="2:39" ht="12.75">
      <c r="B72" s="30"/>
      <c r="C72" s="30"/>
      <c r="D72" s="28"/>
      <c r="E72" s="28"/>
      <c r="F72" s="28"/>
      <c r="G72" s="149"/>
      <c r="H72" s="149"/>
      <c r="I72" s="5"/>
      <c r="J72" s="5"/>
      <c r="K72" s="5"/>
      <c r="L72" s="7"/>
      <c r="M72" s="6"/>
      <c r="N72" s="4"/>
      <c r="O72" s="4"/>
      <c r="P72" s="148"/>
      <c r="Q72" s="4"/>
      <c r="R72" s="23"/>
      <c r="S72" s="31"/>
      <c r="T72" s="31"/>
      <c r="U72" s="13"/>
      <c r="V72" s="161"/>
      <c r="W72" s="13"/>
      <c r="X72" s="23"/>
      <c r="Y72" s="23"/>
      <c r="Z72" s="23"/>
      <c r="AA72" s="23"/>
      <c r="AB72" s="4"/>
      <c r="AC72" s="4"/>
      <c r="AD72" s="4"/>
      <c r="AE72" s="4"/>
      <c r="AF72" s="4"/>
      <c r="AG72" s="4"/>
      <c r="AH72" s="22"/>
      <c r="AI72" s="4"/>
      <c r="AJ72" s="21"/>
      <c r="AK72" s="21"/>
      <c r="AL72" s="13"/>
      <c r="AM72" s="8"/>
    </row>
    <row r="73" spans="2:39" ht="12.75">
      <c r="B73" s="30"/>
      <c r="C73" s="30"/>
      <c r="D73" s="28"/>
      <c r="E73" s="28"/>
      <c r="F73" s="28"/>
      <c r="G73" s="149"/>
      <c r="H73" s="149"/>
      <c r="I73" s="5"/>
      <c r="J73" s="5"/>
      <c r="K73" s="5"/>
      <c r="L73" s="7"/>
      <c r="M73" s="6"/>
      <c r="N73" s="4"/>
      <c r="O73" s="4"/>
      <c r="P73" s="148"/>
      <c r="Q73" s="4"/>
      <c r="R73" s="23"/>
      <c r="S73" s="31"/>
      <c r="T73" s="31"/>
      <c r="U73" s="13"/>
      <c r="V73" s="161"/>
      <c r="W73" s="13"/>
      <c r="X73" s="23"/>
      <c r="Y73" s="23"/>
      <c r="Z73" s="23"/>
      <c r="AA73" s="23"/>
      <c r="AB73" s="4"/>
      <c r="AC73" s="4"/>
      <c r="AD73" s="4"/>
      <c r="AE73" s="4"/>
      <c r="AF73" s="4"/>
      <c r="AG73" s="4"/>
      <c r="AH73" s="21"/>
      <c r="AI73" s="4"/>
      <c r="AJ73" s="21"/>
      <c r="AK73" s="21"/>
      <c r="AL73" s="13"/>
      <c r="AM73" s="8"/>
    </row>
    <row r="74" spans="2:39" ht="12.75">
      <c r="B74" s="30"/>
      <c r="C74" s="30"/>
      <c r="D74" s="28"/>
      <c r="E74" s="28"/>
      <c r="F74" s="28"/>
      <c r="G74" s="149"/>
      <c r="H74" s="149"/>
      <c r="I74" s="5"/>
      <c r="J74" s="5"/>
      <c r="K74" s="5"/>
      <c r="L74" s="7"/>
      <c r="M74" s="6"/>
      <c r="N74" s="4"/>
      <c r="O74" s="4"/>
      <c r="P74" s="148"/>
      <c r="Q74" s="4"/>
      <c r="R74" s="23"/>
      <c r="S74" s="31"/>
      <c r="T74" s="31"/>
      <c r="U74" s="13"/>
      <c r="V74" s="161"/>
      <c r="W74" s="13"/>
      <c r="X74" s="23"/>
      <c r="Y74" s="23"/>
      <c r="Z74" s="23"/>
      <c r="AA74" s="23"/>
      <c r="AB74" s="4"/>
      <c r="AC74" s="4"/>
      <c r="AD74" s="4"/>
      <c r="AE74" s="4"/>
      <c r="AF74" s="4"/>
      <c r="AG74" s="4"/>
      <c r="AH74" s="21"/>
      <c r="AI74" s="4"/>
      <c r="AJ74" s="21"/>
      <c r="AK74" s="21"/>
      <c r="AL74" s="13"/>
      <c r="AM74" s="8"/>
    </row>
    <row r="75" spans="1:39" ht="12.75">
      <c r="A75" s="74" t="s">
        <v>73</v>
      </c>
      <c r="B75" s="59" t="s">
        <v>75</v>
      </c>
      <c r="C75" s="54" t="s">
        <v>41</v>
      </c>
      <c r="D75" s="44">
        <v>1</v>
      </c>
      <c r="E75" s="44">
        <v>50</v>
      </c>
      <c r="F75" s="55"/>
      <c r="G75" s="86"/>
      <c r="H75" s="85"/>
      <c r="I75" s="46">
        <f>D75*(E75+F75+G75+H75)</f>
        <v>50</v>
      </c>
      <c r="J75" s="46"/>
      <c r="K75" s="46"/>
      <c r="L75" s="46">
        <v>50</v>
      </c>
      <c r="M75" s="92" t="s">
        <v>93</v>
      </c>
      <c r="N75" s="78">
        <f>-I75+L75</f>
        <v>0</v>
      </c>
      <c r="O75" s="78"/>
      <c r="P75" s="81">
        <v>50</v>
      </c>
      <c r="Q75" s="94" t="s">
        <v>113</v>
      </c>
      <c r="R75" s="95">
        <f>-L75+P75</f>
        <v>0</v>
      </c>
      <c r="S75" s="50" t="s">
        <v>31</v>
      </c>
      <c r="T75" s="50"/>
      <c r="U75" s="93"/>
      <c r="V75" s="105"/>
      <c r="W75" s="93"/>
      <c r="X75" s="41"/>
      <c r="Y75" s="41"/>
      <c r="Z75" s="41"/>
      <c r="AA75" s="41"/>
      <c r="AB75" s="80"/>
      <c r="AC75" s="80"/>
      <c r="AD75" s="80"/>
      <c r="AE75" s="80"/>
      <c r="AF75" s="80"/>
      <c r="AG75" s="80"/>
      <c r="AH75" s="52"/>
      <c r="AI75" s="80"/>
      <c r="AJ75" s="52"/>
      <c r="AK75" s="52"/>
      <c r="AL75" s="93"/>
      <c r="AM75" s="9"/>
    </row>
    <row r="76" spans="1:39" ht="12.75">
      <c r="A76" s="74" t="s">
        <v>74</v>
      </c>
      <c r="B76" s="59" t="s">
        <v>75</v>
      </c>
      <c r="C76" s="54" t="s">
        <v>41</v>
      </c>
      <c r="D76" s="44">
        <v>1</v>
      </c>
      <c r="E76" s="44">
        <v>50</v>
      </c>
      <c r="F76" s="55"/>
      <c r="G76" s="86"/>
      <c r="H76" s="85"/>
      <c r="I76" s="46">
        <f>D76*(E76+F76+G76+H76)</f>
        <v>50</v>
      </c>
      <c r="J76" s="46"/>
      <c r="K76" s="46"/>
      <c r="L76" s="46">
        <v>50</v>
      </c>
      <c r="M76" s="92" t="s">
        <v>93</v>
      </c>
      <c r="N76" s="78">
        <f>-I76+L76</f>
        <v>0</v>
      </c>
      <c r="O76" s="78"/>
      <c r="P76" s="81">
        <v>50</v>
      </c>
      <c r="Q76" s="94" t="s">
        <v>112</v>
      </c>
      <c r="R76" s="95">
        <f>-L76+P76</f>
        <v>0</v>
      </c>
      <c r="S76" s="50" t="s">
        <v>31</v>
      </c>
      <c r="T76" s="50"/>
      <c r="U76" s="93"/>
      <c r="V76" s="105"/>
      <c r="W76" s="93"/>
      <c r="X76" s="41"/>
      <c r="Y76" s="41"/>
      <c r="Z76" s="41"/>
      <c r="AA76" s="41"/>
      <c r="AB76" s="80"/>
      <c r="AC76" s="80"/>
      <c r="AD76" s="80"/>
      <c r="AE76" s="80"/>
      <c r="AF76" s="80"/>
      <c r="AG76" s="80"/>
      <c r="AH76" s="52"/>
      <c r="AI76" s="80"/>
      <c r="AJ76" s="52"/>
      <c r="AK76" s="52"/>
      <c r="AL76" s="93"/>
      <c r="AM76" s="9"/>
    </row>
    <row r="77" spans="2:39" ht="12.75">
      <c r="B77" s="30"/>
      <c r="C77" s="30"/>
      <c r="D77" s="28"/>
      <c r="E77" s="28"/>
      <c r="F77" s="28"/>
      <c r="G77" s="149"/>
      <c r="H77" s="149"/>
      <c r="I77" s="5"/>
      <c r="J77" s="5"/>
      <c r="K77" s="5"/>
      <c r="L77" s="7"/>
      <c r="M77" s="6"/>
      <c r="N77" s="4"/>
      <c r="O77" s="4"/>
      <c r="P77" s="148"/>
      <c r="Q77" s="4"/>
      <c r="R77" s="23"/>
      <c r="S77" s="31"/>
      <c r="T77" s="31"/>
      <c r="U77" s="13"/>
      <c r="V77" s="161"/>
      <c r="W77" s="13"/>
      <c r="X77" s="23"/>
      <c r="Y77" s="23"/>
      <c r="Z77" s="23"/>
      <c r="AA77" s="23"/>
      <c r="AB77" s="4"/>
      <c r="AC77" s="4"/>
      <c r="AD77" s="4"/>
      <c r="AE77" s="4"/>
      <c r="AF77" s="4"/>
      <c r="AG77" s="4"/>
      <c r="AH77" s="21"/>
      <c r="AI77" s="4"/>
      <c r="AJ77" s="21"/>
      <c r="AK77" s="21"/>
      <c r="AL77" s="13"/>
      <c r="AM77" s="8"/>
    </row>
    <row r="78" spans="2:39" ht="12.75">
      <c r="B78" s="30"/>
      <c r="C78" s="30"/>
      <c r="D78" s="28"/>
      <c r="E78" s="28"/>
      <c r="F78" s="28"/>
      <c r="G78" s="149"/>
      <c r="H78" s="149"/>
      <c r="I78" s="5"/>
      <c r="J78" s="5"/>
      <c r="K78" s="5"/>
      <c r="L78" s="7"/>
      <c r="M78" s="6"/>
      <c r="N78" s="4"/>
      <c r="O78" s="4"/>
      <c r="P78" s="148"/>
      <c r="Q78" s="4"/>
      <c r="R78" s="23"/>
      <c r="S78" s="31"/>
      <c r="T78" s="31"/>
      <c r="U78" s="13"/>
      <c r="V78" s="161"/>
      <c r="W78" s="13"/>
      <c r="X78" s="23"/>
      <c r="Y78" s="23"/>
      <c r="Z78" s="23"/>
      <c r="AA78" s="23"/>
      <c r="AB78" s="4"/>
      <c r="AC78" s="4"/>
      <c r="AD78" s="4"/>
      <c r="AE78" s="4"/>
      <c r="AF78" s="4"/>
      <c r="AG78" s="4"/>
      <c r="AH78" s="21"/>
      <c r="AI78" s="4"/>
      <c r="AJ78" s="21"/>
      <c r="AK78" s="21"/>
      <c r="AL78" s="13"/>
      <c r="AM78" s="8"/>
    </row>
    <row r="79" spans="2:39" ht="12.75">
      <c r="B79" s="30"/>
      <c r="C79" s="30"/>
      <c r="D79" s="28"/>
      <c r="E79" s="28"/>
      <c r="F79" s="28"/>
      <c r="G79" s="149"/>
      <c r="H79" s="149"/>
      <c r="I79" s="5"/>
      <c r="J79" s="5"/>
      <c r="K79" s="5"/>
      <c r="L79" s="7"/>
      <c r="M79" s="6"/>
      <c r="N79" s="4"/>
      <c r="O79" s="4"/>
      <c r="P79" s="148"/>
      <c r="Q79" s="4"/>
      <c r="R79" s="23"/>
      <c r="S79" s="31"/>
      <c r="T79" s="31"/>
      <c r="U79" s="13"/>
      <c r="V79" s="161"/>
      <c r="W79" s="13"/>
      <c r="X79" s="23"/>
      <c r="Y79" s="23"/>
      <c r="Z79" s="23"/>
      <c r="AA79" s="23"/>
      <c r="AB79" s="4"/>
      <c r="AC79" s="4"/>
      <c r="AD79" s="4"/>
      <c r="AE79" s="4"/>
      <c r="AF79" s="4"/>
      <c r="AG79" s="4"/>
      <c r="AH79" s="21"/>
      <c r="AI79" s="4"/>
      <c r="AJ79" s="21"/>
      <c r="AK79" s="21"/>
      <c r="AL79" s="13"/>
      <c r="AM79" s="8"/>
    </row>
    <row r="80" spans="2:39" ht="12.75">
      <c r="B80" s="30"/>
      <c r="C80" s="30"/>
      <c r="D80" s="28"/>
      <c r="E80" s="28"/>
      <c r="F80" s="28"/>
      <c r="G80" s="149"/>
      <c r="H80" s="149"/>
      <c r="I80" s="5"/>
      <c r="J80" s="5"/>
      <c r="K80" s="5"/>
      <c r="L80" s="7"/>
      <c r="M80" s="6"/>
      <c r="N80" s="4"/>
      <c r="O80" s="4"/>
      <c r="P80" s="148"/>
      <c r="Q80" s="4"/>
      <c r="R80" s="23"/>
      <c r="S80" s="31"/>
      <c r="T80" s="31"/>
      <c r="U80" s="13"/>
      <c r="V80" s="161"/>
      <c r="W80" s="13"/>
      <c r="X80" s="23"/>
      <c r="Y80" s="23"/>
      <c r="Z80" s="23"/>
      <c r="AA80" s="23"/>
      <c r="AB80" s="4"/>
      <c r="AC80" s="4"/>
      <c r="AD80" s="4"/>
      <c r="AE80" s="4"/>
      <c r="AF80" s="4"/>
      <c r="AG80" s="4"/>
      <c r="AH80" s="21"/>
      <c r="AI80" s="4"/>
      <c r="AJ80" s="21"/>
      <c r="AK80" s="21"/>
      <c r="AL80" s="13"/>
      <c r="AM80" s="8"/>
    </row>
    <row r="81" spans="2:39" ht="12.75">
      <c r="B81" s="30"/>
      <c r="C81" s="30">
        <f>-7440+9470+100+40</f>
        <v>2170</v>
      </c>
      <c r="D81" s="28"/>
      <c r="E81" s="28"/>
      <c r="F81" s="28"/>
      <c r="G81" s="149"/>
      <c r="H81" s="149"/>
      <c r="I81" s="5"/>
      <c r="J81" s="5"/>
      <c r="K81" s="5"/>
      <c r="L81" s="7"/>
      <c r="M81" s="6"/>
      <c r="N81" s="4"/>
      <c r="O81" s="4"/>
      <c r="P81" s="148"/>
      <c r="Q81" s="4"/>
      <c r="R81" s="23"/>
      <c r="S81" s="31"/>
      <c r="T81" s="31"/>
      <c r="U81" s="13"/>
      <c r="V81" s="161"/>
      <c r="W81" s="13"/>
      <c r="X81" s="23"/>
      <c r="Y81" s="23"/>
      <c r="Z81" s="23"/>
      <c r="AA81" s="23"/>
      <c r="AB81" s="4"/>
      <c r="AC81" s="4">
        <f>AB67/400</f>
        <v>9.106666666666667</v>
      </c>
      <c r="AD81" s="4"/>
      <c r="AE81" s="4"/>
      <c r="AF81" s="4"/>
      <c r="AG81" s="4">
        <f>AG61*2</f>
        <v>2186</v>
      </c>
      <c r="AH81" s="21">
        <f>308+322+330+98+36</f>
        <v>1094</v>
      </c>
      <c r="AI81" s="4"/>
      <c r="AJ81" s="21"/>
      <c r="AK81" s="21"/>
      <c r="AL81" s="13"/>
      <c r="AM81" s="8"/>
    </row>
    <row r="82" spans="2:39" ht="12.75">
      <c r="B82" s="30"/>
      <c r="C82" s="30"/>
      <c r="D82" s="28"/>
      <c r="E82" s="28"/>
      <c r="F82" s="28"/>
      <c r="G82" s="149"/>
      <c r="H82" s="149"/>
      <c r="I82" s="5"/>
      <c r="J82" s="5"/>
      <c r="K82" s="5"/>
      <c r="L82" s="7"/>
      <c r="M82" s="6"/>
      <c r="N82" s="4"/>
      <c r="O82" s="4"/>
      <c r="P82" s="148"/>
      <c r="Q82" s="4"/>
      <c r="R82" s="23"/>
      <c r="S82" s="31"/>
      <c r="T82" s="31"/>
      <c r="U82" s="13"/>
      <c r="V82" s="161"/>
      <c r="W82" s="13"/>
      <c r="X82" s="23"/>
      <c r="Y82" s="23"/>
      <c r="Z82" s="23"/>
      <c r="AA82" s="23"/>
      <c r="AB82" s="4"/>
      <c r="AC82" s="4">
        <f>1902/5.5</f>
        <v>345.8181818181818</v>
      </c>
      <c r="AD82" s="4"/>
      <c r="AE82" s="4"/>
      <c r="AF82" s="4"/>
      <c r="AG82" s="4"/>
      <c r="AH82" s="21"/>
      <c r="AI82" s="4"/>
      <c r="AJ82" s="21"/>
      <c r="AK82" s="21"/>
      <c r="AL82" s="13"/>
      <c r="AM82" s="8"/>
    </row>
    <row r="83" spans="2:39" ht="12.75">
      <c r="B83" s="30"/>
      <c r="C83" s="30"/>
      <c r="D83" s="28"/>
      <c r="E83" s="28"/>
      <c r="F83" s="28"/>
      <c r="G83" s="149"/>
      <c r="H83" s="149"/>
      <c r="I83" s="5"/>
      <c r="J83" s="5"/>
      <c r="K83" s="5"/>
      <c r="L83" s="7"/>
      <c r="M83" s="6"/>
      <c r="N83" s="4"/>
      <c r="O83" s="4"/>
      <c r="P83" s="148"/>
      <c r="Q83" s="4"/>
      <c r="R83" s="23"/>
      <c r="S83" s="31"/>
      <c r="T83" s="31"/>
      <c r="U83" s="13"/>
      <c r="V83" s="161"/>
      <c r="W83" s="13"/>
      <c r="X83" s="23"/>
      <c r="Y83" s="23"/>
      <c r="Z83" s="23"/>
      <c r="AA83" s="23"/>
      <c r="AB83" s="4"/>
      <c r="AC83" s="4"/>
      <c r="AD83" s="4"/>
      <c r="AE83" s="4"/>
      <c r="AF83" s="4"/>
      <c r="AG83" s="4"/>
      <c r="AH83" s="21"/>
      <c r="AI83" s="4"/>
      <c r="AJ83" s="21"/>
      <c r="AK83" s="21"/>
      <c r="AL83" s="13"/>
      <c r="AM83" s="8"/>
    </row>
    <row r="84" spans="1:39" ht="12.75">
      <c r="A84" s="1"/>
      <c r="B84" s="30"/>
      <c r="C84" s="30"/>
      <c r="D84" s="28"/>
      <c r="E84" s="28"/>
      <c r="F84" s="28"/>
      <c r="G84" s="149"/>
      <c r="H84" s="149"/>
      <c r="I84" s="5"/>
      <c r="J84" s="5"/>
      <c r="K84" s="5"/>
      <c r="L84" s="7"/>
      <c r="M84" s="6"/>
      <c r="N84" s="4"/>
      <c r="O84" s="4"/>
      <c r="P84" s="148"/>
      <c r="Q84" s="4"/>
      <c r="R84" s="23"/>
      <c r="S84" s="31"/>
      <c r="T84" s="31"/>
      <c r="U84" s="13"/>
      <c r="V84" s="161"/>
      <c r="W84" s="13"/>
      <c r="X84" s="23"/>
      <c r="Y84" s="23"/>
      <c r="Z84" s="23"/>
      <c r="AA84" s="23"/>
      <c r="AB84" s="4"/>
      <c r="AC84" s="4"/>
      <c r="AD84" s="4"/>
      <c r="AE84" s="4"/>
      <c r="AF84" s="4"/>
      <c r="AG84" s="4"/>
      <c r="AH84" s="21"/>
      <c r="AI84" s="4"/>
      <c r="AJ84" s="21"/>
      <c r="AK84" s="21"/>
      <c r="AL84" s="13"/>
      <c r="AM84" s="8"/>
    </row>
    <row r="85" spans="2:39" ht="12.75">
      <c r="B85" s="30"/>
      <c r="C85" s="30"/>
      <c r="D85" s="28"/>
      <c r="E85" s="28"/>
      <c r="F85" s="28"/>
      <c r="G85" s="149"/>
      <c r="H85" s="149"/>
      <c r="I85" s="5"/>
      <c r="J85" s="5"/>
      <c r="K85" s="5"/>
      <c r="L85" s="7"/>
      <c r="M85" s="6"/>
      <c r="N85" s="4"/>
      <c r="O85" s="4"/>
      <c r="P85" s="148"/>
      <c r="Q85" s="4"/>
      <c r="R85" s="23"/>
      <c r="S85" s="31"/>
      <c r="T85" s="31"/>
      <c r="U85" s="13"/>
      <c r="V85" s="161"/>
      <c r="W85" s="13"/>
      <c r="X85" s="23"/>
      <c r="Y85" s="23"/>
      <c r="Z85" s="23"/>
      <c r="AA85" s="23"/>
      <c r="AB85" s="4"/>
      <c r="AC85" s="4"/>
      <c r="AD85" s="4"/>
      <c r="AE85" s="4"/>
      <c r="AF85" s="4"/>
      <c r="AG85" s="4"/>
      <c r="AH85" s="21"/>
      <c r="AI85" s="4"/>
      <c r="AJ85" s="21"/>
      <c r="AK85" s="21"/>
      <c r="AL85" s="13"/>
      <c r="AM85" s="8"/>
    </row>
    <row r="86" spans="2:39" ht="12.75">
      <c r="B86" s="30"/>
      <c r="C86" s="30"/>
      <c r="D86" s="28"/>
      <c r="E86" s="28"/>
      <c r="F86" s="28"/>
      <c r="G86" s="149"/>
      <c r="H86" s="149"/>
      <c r="I86" s="5"/>
      <c r="J86" s="5"/>
      <c r="K86" s="5"/>
      <c r="L86" s="7"/>
      <c r="M86" s="6"/>
      <c r="N86" s="4"/>
      <c r="O86" s="4"/>
      <c r="P86" s="148"/>
      <c r="Q86" s="4"/>
      <c r="R86" s="23"/>
      <c r="S86" s="31"/>
      <c r="T86" s="31"/>
      <c r="U86" s="13"/>
      <c r="V86" s="161"/>
      <c r="W86" s="13"/>
      <c r="X86" s="23"/>
      <c r="Y86" s="23"/>
      <c r="Z86" s="23"/>
      <c r="AA86" s="23"/>
      <c r="AB86" s="4"/>
      <c r="AC86" s="4"/>
      <c r="AD86" s="4"/>
      <c r="AE86" s="4"/>
      <c r="AF86" s="4"/>
      <c r="AG86" s="4"/>
      <c r="AH86" s="21"/>
      <c r="AI86" s="4"/>
      <c r="AJ86" s="21"/>
      <c r="AK86" s="21"/>
      <c r="AL86" s="13"/>
      <c r="AM86" s="8"/>
    </row>
    <row r="87" spans="2:39" ht="12.75">
      <c r="B87" s="30"/>
      <c r="C87" s="30"/>
      <c r="D87" s="28"/>
      <c r="E87" s="28"/>
      <c r="F87" s="28"/>
      <c r="G87" s="149"/>
      <c r="H87" s="149"/>
      <c r="I87" s="5"/>
      <c r="J87" s="5"/>
      <c r="K87" s="5"/>
      <c r="L87" s="7"/>
      <c r="M87" s="6"/>
      <c r="N87" s="4"/>
      <c r="O87" s="4"/>
      <c r="P87" s="148"/>
      <c r="Q87" s="4"/>
      <c r="R87" s="23"/>
      <c r="S87" s="31"/>
      <c r="T87" s="31"/>
      <c r="U87" s="13"/>
      <c r="V87" s="161"/>
      <c r="W87" s="13"/>
      <c r="X87" s="23"/>
      <c r="Y87" s="23"/>
      <c r="Z87" s="23"/>
      <c r="AA87" s="23"/>
      <c r="AB87" s="4"/>
      <c r="AC87" s="4"/>
      <c r="AD87" s="4"/>
      <c r="AE87" s="4"/>
      <c r="AF87" s="4"/>
      <c r="AG87" s="4"/>
      <c r="AH87" s="21"/>
      <c r="AI87" s="4"/>
      <c r="AJ87" s="21"/>
      <c r="AK87" s="21"/>
      <c r="AL87" s="13"/>
      <c r="AM87" s="8"/>
    </row>
    <row r="88" spans="2:39" ht="12.75">
      <c r="B88" s="30"/>
      <c r="C88" s="30"/>
      <c r="D88" s="28"/>
      <c r="E88" s="28"/>
      <c r="F88" s="28"/>
      <c r="G88" s="149"/>
      <c r="H88" s="149"/>
      <c r="I88" s="5"/>
      <c r="J88" s="5"/>
      <c r="K88" s="5"/>
      <c r="L88" s="7"/>
      <c r="M88" s="6"/>
      <c r="N88" s="4"/>
      <c r="O88" s="4"/>
      <c r="P88" s="148"/>
      <c r="Q88" s="4"/>
      <c r="R88" s="23"/>
      <c r="S88" s="31"/>
      <c r="T88" s="31"/>
      <c r="U88" s="13"/>
      <c r="V88" s="161"/>
      <c r="W88" s="13"/>
      <c r="X88" s="23"/>
      <c r="Y88" s="23"/>
      <c r="Z88" s="23"/>
      <c r="AA88" s="23"/>
      <c r="AB88" s="4"/>
      <c r="AC88" s="4"/>
      <c r="AD88" s="4"/>
      <c r="AE88" s="4"/>
      <c r="AF88" s="4"/>
      <c r="AG88" s="4"/>
      <c r="AH88" s="21"/>
      <c r="AI88" s="4"/>
      <c r="AJ88" s="21"/>
      <c r="AK88" s="21"/>
      <c r="AL88" s="13"/>
      <c r="AM88" s="8"/>
    </row>
    <row r="89" spans="2:39" ht="12.75">
      <c r="B89" s="30"/>
      <c r="C89" s="30"/>
      <c r="D89" s="28"/>
      <c r="E89" s="28"/>
      <c r="F89" s="28"/>
      <c r="G89" s="149"/>
      <c r="H89" s="149"/>
      <c r="I89" s="5"/>
      <c r="J89" s="5"/>
      <c r="K89" s="5"/>
      <c r="L89" s="7"/>
      <c r="M89" s="6"/>
      <c r="N89" s="4"/>
      <c r="O89" s="4"/>
      <c r="P89" s="148"/>
      <c r="Q89" s="4"/>
      <c r="R89" s="23"/>
      <c r="S89" s="31"/>
      <c r="T89" s="31"/>
      <c r="U89" s="13"/>
      <c r="V89" s="161"/>
      <c r="W89" s="13"/>
      <c r="X89" s="23"/>
      <c r="Y89" s="23"/>
      <c r="Z89" s="23"/>
      <c r="AA89" s="23"/>
      <c r="AB89" s="4"/>
      <c r="AC89" s="4"/>
      <c r="AD89" s="4"/>
      <c r="AE89" s="4"/>
      <c r="AF89" s="4"/>
      <c r="AG89" s="4"/>
      <c r="AH89" s="21"/>
      <c r="AI89" s="4"/>
      <c r="AJ89" s="21"/>
      <c r="AK89" s="21"/>
      <c r="AL89" s="13"/>
      <c r="AM89" s="8"/>
    </row>
    <row r="90" spans="2:39" ht="12.75">
      <c r="B90" s="30"/>
      <c r="C90" s="30"/>
      <c r="D90" s="28"/>
      <c r="E90" s="28"/>
      <c r="F90" s="28"/>
      <c r="G90" s="149"/>
      <c r="H90" s="149"/>
      <c r="I90" s="5"/>
      <c r="J90" s="5"/>
      <c r="K90" s="5"/>
      <c r="L90" s="7"/>
      <c r="M90" s="6"/>
      <c r="N90" s="4"/>
      <c r="O90" s="4"/>
      <c r="P90" s="148"/>
      <c r="Q90" s="4"/>
      <c r="R90" s="23"/>
      <c r="S90" s="31"/>
      <c r="T90" s="31"/>
      <c r="U90" s="13"/>
      <c r="V90" s="161"/>
      <c r="W90" s="13"/>
      <c r="X90" s="23"/>
      <c r="Y90" s="23"/>
      <c r="Z90" s="23"/>
      <c r="AA90" s="23"/>
      <c r="AB90" s="4"/>
      <c r="AC90" s="4"/>
      <c r="AD90" s="4"/>
      <c r="AE90" s="4"/>
      <c r="AF90" s="4"/>
      <c r="AG90" s="4"/>
      <c r="AH90" s="21"/>
      <c r="AI90" s="4"/>
      <c r="AJ90" s="21"/>
      <c r="AK90" s="21"/>
      <c r="AL90" s="13"/>
      <c r="AM90" s="8"/>
    </row>
    <row r="91" spans="2:39" ht="12.75">
      <c r="B91" s="30"/>
      <c r="C91" s="30"/>
      <c r="D91" s="28"/>
      <c r="E91" s="28"/>
      <c r="F91" s="28"/>
      <c r="G91" s="149"/>
      <c r="H91" s="149"/>
      <c r="I91" s="5"/>
      <c r="J91" s="5"/>
      <c r="K91" s="5"/>
      <c r="L91" s="7"/>
      <c r="M91" s="6"/>
      <c r="N91" s="4"/>
      <c r="O91" s="4"/>
      <c r="P91" s="148"/>
      <c r="Q91" s="4"/>
      <c r="R91" s="23"/>
      <c r="S91" s="31"/>
      <c r="T91" s="31"/>
      <c r="U91" s="13"/>
      <c r="V91" s="161"/>
      <c r="W91" s="13"/>
      <c r="X91" s="23"/>
      <c r="Y91" s="23"/>
      <c r="Z91" s="23"/>
      <c r="AA91" s="23"/>
      <c r="AB91" s="4"/>
      <c r="AC91" s="4"/>
      <c r="AD91" s="4"/>
      <c r="AE91" s="4"/>
      <c r="AF91" s="4"/>
      <c r="AG91" s="4"/>
      <c r="AH91" s="21"/>
      <c r="AI91" s="4"/>
      <c r="AJ91" s="21"/>
      <c r="AK91" s="21"/>
      <c r="AL91" s="13"/>
      <c r="AM91" s="8"/>
    </row>
    <row r="92" spans="2:39" ht="12.75">
      <c r="B92" s="30"/>
      <c r="C92" s="30"/>
      <c r="D92" s="28"/>
      <c r="E92" s="28"/>
      <c r="F92" s="28"/>
      <c r="G92" s="149"/>
      <c r="H92" s="149"/>
      <c r="I92" s="5"/>
      <c r="J92" s="5"/>
      <c r="K92" s="5"/>
      <c r="L92" s="7"/>
      <c r="M92" s="6"/>
      <c r="N92" s="4"/>
      <c r="O92" s="4"/>
      <c r="P92" s="148"/>
      <c r="Q92" s="4"/>
      <c r="R92" s="23"/>
      <c r="S92" s="31"/>
      <c r="T92" s="31"/>
      <c r="U92" s="13"/>
      <c r="V92" s="161"/>
      <c r="W92" s="13"/>
      <c r="X92" s="23"/>
      <c r="Y92" s="23"/>
      <c r="Z92" s="23"/>
      <c r="AA92" s="23"/>
      <c r="AB92" s="4"/>
      <c r="AC92" s="4"/>
      <c r="AD92" s="4"/>
      <c r="AE92" s="4"/>
      <c r="AF92" s="4"/>
      <c r="AG92" s="4"/>
      <c r="AH92" s="21"/>
      <c r="AI92" s="4"/>
      <c r="AJ92" s="21"/>
      <c r="AK92" s="21"/>
      <c r="AL92" s="13"/>
      <c r="AM92" s="8"/>
    </row>
    <row r="93" spans="2:39" ht="12.75">
      <c r="B93" s="30"/>
      <c r="C93" s="30"/>
      <c r="D93" s="28"/>
      <c r="E93" s="28"/>
      <c r="F93" s="28"/>
      <c r="G93" s="149"/>
      <c r="H93" s="149"/>
      <c r="I93" s="5"/>
      <c r="J93" s="5"/>
      <c r="K93" s="5"/>
      <c r="L93" s="7"/>
      <c r="M93" s="6"/>
      <c r="N93" s="4"/>
      <c r="O93" s="4"/>
      <c r="P93" s="148"/>
      <c r="Q93" s="4"/>
      <c r="R93" s="23"/>
      <c r="S93" s="31"/>
      <c r="T93" s="31"/>
      <c r="U93" s="13"/>
      <c r="V93" s="161"/>
      <c r="W93" s="13"/>
      <c r="X93" s="23"/>
      <c r="Y93" s="23"/>
      <c r="Z93" s="23"/>
      <c r="AA93" s="23"/>
      <c r="AB93" s="4"/>
      <c r="AC93" s="4"/>
      <c r="AD93" s="4"/>
      <c r="AE93" s="4"/>
      <c r="AF93" s="4"/>
      <c r="AG93" s="4"/>
      <c r="AH93" s="21"/>
      <c r="AI93" s="4"/>
      <c r="AJ93" s="21"/>
      <c r="AK93" s="21"/>
      <c r="AL93" s="13"/>
      <c r="AM93" s="8"/>
    </row>
    <row r="94" spans="2:39" ht="12.75">
      <c r="B94" s="30"/>
      <c r="C94" s="30"/>
      <c r="D94" s="28"/>
      <c r="E94" s="28"/>
      <c r="F94" s="28"/>
      <c r="G94" s="149"/>
      <c r="H94" s="149"/>
      <c r="I94" s="5"/>
      <c r="J94" s="5"/>
      <c r="K94" s="5"/>
      <c r="L94" s="7"/>
      <c r="M94" s="6"/>
      <c r="N94" s="4"/>
      <c r="O94" s="4"/>
      <c r="P94" s="148"/>
      <c r="Q94" s="4"/>
      <c r="R94" s="23"/>
      <c r="S94" s="31"/>
      <c r="T94" s="31"/>
      <c r="U94" s="13"/>
      <c r="V94" s="161"/>
      <c r="W94" s="13"/>
      <c r="X94" s="23"/>
      <c r="Y94" s="23"/>
      <c r="Z94" s="23"/>
      <c r="AA94" s="23"/>
      <c r="AB94" s="4"/>
      <c r="AC94" s="4"/>
      <c r="AD94" s="4"/>
      <c r="AE94" s="4"/>
      <c r="AF94" s="4"/>
      <c r="AG94" s="4"/>
      <c r="AH94" s="21"/>
      <c r="AI94" s="4"/>
      <c r="AJ94" s="21"/>
      <c r="AK94" s="21"/>
      <c r="AL94" s="13"/>
      <c r="AM94" s="8"/>
    </row>
    <row r="95" spans="2:39" ht="12.75">
      <c r="B95" s="30"/>
      <c r="C95" s="30"/>
      <c r="D95" s="28"/>
      <c r="E95" s="28"/>
      <c r="F95" s="28"/>
      <c r="G95" s="149"/>
      <c r="H95" s="149"/>
      <c r="I95" s="5"/>
      <c r="J95" s="5"/>
      <c r="K95" s="5"/>
      <c r="L95" s="7"/>
      <c r="M95" s="6"/>
      <c r="N95" s="4"/>
      <c r="O95" s="4"/>
      <c r="P95" s="148"/>
      <c r="Q95" s="4"/>
      <c r="R95" s="23"/>
      <c r="S95" s="31"/>
      <c r="T95" s="31"/>
      <c r="U95" s="13"/>
      <c r="V95" s="161"/>
      <c r="W95" s="13"/>
      <c r="X95" s="23"/>
      <c r="Y95" s="23"/>
      <c r="Z95" s="23"/>
      <c r="AA95" s="23"/>
      <c r="AB95" s="4"/>
      <c r="AC95" s="4"/>
      <c r="AD95" s="4"/>
      <c r="AE95" s="4"/>
      <c r="AF95" s="4"/>
      <c r="AG95" s="4"/>
      <c r="AH95" s="21"/>
      <c r="AI95" s="4"/>
      <c r="AJ95" s="21"/>
      <c r="AK95" s="21"/>
      <c r="AL95" s="13"/>
      <c r="AM95" s="8"/>
    </row>
    <row r="96" spans="2:39" ht="12.75">
      <c r="B96" s="30"/>
      <c r="C96" s="30"/>
      <c r="D96" s="28"/>
      <c r="E96" s="28"/>
      <c r="F96" s="28"/>
      <c r="G96" s="149"/>
      <c r="H96" s="149"/>
      <c r="I96" s="5"/>
      <c r="J96" s="5"/>
      <c r="K96" s="5"/>
      <c r="L96" s="7"/>
      <c r="M96" s="6"/>
      <c r="N96" s="4"/>
      <c r="O96" s="4"/>
      <c r="P96" s="148"/>
      <c r="Q96" s="4"/>
      <c r="R96" s="23"/>
      <c r="S96" s="31"/>
      <c r="T96" s="31"/>
      <c r="U96" s="13"/>
      <c r="V96" s="161"/>
      <c r="W96" s="13"/>
      <c r="X96" s="23"/>
      <c r="Y96" s="23"/>
      <c r="Z96" s="23"/>
      <c r="AA96" s="23"/>
      <c r="AB96" s="4"/>
      <c r="AC96" s="4"/>
      <c r="AD96" s="4"/>
      <c r="AE96" s="4"/>
      <c r="AF96" s="4"/>
      <c r="AG96" s="4"/>
      <c r="AH96" s="21"/>
      <c r="AI96" s="4"/>
      <c r="AJ96" s="21"/>
      <c r="AK96" s="21"/>
      <c r="AL96" s="13"/>
      <c r="AM96" s="8"/>
    </row>
    <row r="97" spans="2:39" ht="12.75">
      <c r="B97" s="30"/>
      <c r="C97" s="30"/>
      <c r="D97" s="28"/>
      <c r="E97" s="28"/>
      <c r="F97" s="28"/>
      <c r="G97" s="149"/>
      <c r="H97" s="149"/>
      <c r="I97" s="5"/>
      <c r="J97" s="5"/>
      <c r="K97" s="5"/>
      <c r="L97" s="7"/>
      <c r="M97" s="6"/>
      <c r="N97" s="4"/>
      <c r="O97" s="4"/>
      <c r="P97" s="148"/>
      <c r="Q97" s="4"/>
      <c r="R97" s="23"/>
      <c r="S97" s="31"/>
      <c r="T97" s="31"/>
      <c r="U97" s="13"/>
      <c r="V97" s="161"/>
      <c r="W97" s="13"/>
      <c r="X97" s="23"/>
      <c r="Y97" s="23"/>
      <c r="Z97" s="23"/>
      <c r="AA97" s="23"/>
      <c r="AB97" s="4"/>
      <c r="AC97" s="4"/>
      <c r="AD97" s="4"/>
      <c r="AE97" s="4"/>
      <c r="AF97" s="4"/>
      <c r="AG97" s="4"/>
      <c r="AH97" s="21"/>
      <c r="AI97" s="4"/>
      <c r="AJ97" s="21"/>
      <c r="AK97" s="21"/>
      <c r="AL97" s="13"/>
      <c r="AM97" s="8"/>
    </row>
    <row r="98" spans="2:39" ht="12.75">
      <c r="B98" s="30"/>
      <c r="C98" s="30"/>
      <c r="D98" s="28"/>
      <c r="E98" s="28"/>
      <c r="F98" s="28"/>
      <c r="G98" s="149"/>
      <c r="H98" s="149"/>
      <c r="I98" s="5"/>
      <c r="J98" s="5"/>
      <c r="K98" s="5"/>
      <c r="L98" s="7"/>
      <c r="M98" s="6"/>
      <c r="N98" s="4"/>
      <c r="O98" s="4"/>
      <c r="P98" s="148"/>
      <c r="Q98" s="4"/>
      <c r="R98" s="23"/>
      <c r="S98" s="31"/>
      <c r="T98" s="31"/>
      <c r="U98" s="13"/>
      <c r="V98" s="161"/>
      <c r="W98" s="13"/>
      <c r="X98" s="23"/>
      <c r="Y98" s="23"/>
      <c r="Z98" s="23"/>
      <c r="AA98" s="23"/>
      <c r="AB98" s="4"/>
      <c r="AC98" s="4"/>
      <c r="AD98" s="4"/>
      <c r="AE98" s="4"/>
      <c r="AF98" s="4"/>
      <c r="AG98" s="4"/>
      <c r="AH98" s="21"/>
      <c r="AI98" s="4"/>
      <c r="AJ98" s="21"/>
      <c r="AK98" s="21"/>
      <c r="AL98" s="13"/>
      <c r="AM98" s="8"/>
    </row>
    <row r="99" spans="16:22" ht="12.75">
      <c r="P99" s="15"/>
      <c r="V99" s="15"/>
    </row>
    <row r="100" spans="16:22" ht="12.75">
      <c r="P100" s="15"/>
      <c r="V100" s="15"/>
    </row>
    <row r="101" spans="16:22" ht="12.75">
      <c r="P101" s="15"/>
      <c r="V101" s="15"/>
    </row>
    <row r="102" spans="16:22" ht="12.75">
      <c r="P102" s="15"/>
      <c r="V102" s="15"/>
    </row>
    <row r="103" spans="16:22" ht="12.75">
      <c r="P103" s="15"/>
      <c r="V103" s="15"/>
    </row>
    <row r="104" spans="16:22" ht="12.75">
      <c r="P104" s="15"/>
      <c r="V104" s="15"/>
    </row>
    <row r="105" spans="16:22" ht="12.75">
      <c r="P105" s="15"/>
      <c r="V105" s="15"/>
    </row>
    <row r="106" spans="16:22" ht="12.75">
      <c r="P106" s="15"/>
      <c r="V106" s="15"/>
    </row>
    <row r="107" spans="16:22" ht="12.75">
      <c r="P107" s="15"/>
      <c r="V107" s="15"/>
    </row>
    <row r="108" spans="16:22" ht="12.75">
      <c r="P108" s="15"/>
      <c r="V108" s="15"/>
    </row>
    <row r="109" spans="16:22" ht="12.75">
      <c r="P109" s="15"/>
      <c r="V109" s="15"/>
    </row>
    <row r="110" spans="16:22" ht="12.75">
      <c r="P110" s="15"/>
      <c r="V110" s="15"/>
    </row>
    <row r="111" spans="16:22" ht="12.75">
      <c r="P111" s="15"/>
      <c r="V111" s="15"/>
    </row>
    <row r="112" spans="16:22" ht="12.75">
      <c r="P112" s="15"/>
      <c r="V112" s="15"/>
    </row>
    <row r="113" spans="16:22" ht="12.75">
      <c r="P113" s="15"/>
      <c r="V113" s="15"/>
    </row>
    <row r="114" spans="16:22" ht="12.75">
      <c r="P114" s="15"/>
      <c r="V114" s="15"/>
    </row>
    <row r="115" spans="16:22" ht="12.75">
      <c r="P115" s="15"/>
      <c r="V115" s="15"/>
    </row>
    <row r="116" spans="16:22" ht="12.75">
      <c r="P116" s="15"/>
      <c r="V116" s="15"/>
    </row>
    <row r="117" spans="16:22" ht="12.75">
      <c r="P117" s="15"/>
      <c r="V117" s="15"/>
    </row>
    <row r="118" spans="16:22" ht="12.75">
      <c r="P118" s="15"/>
      <c r="V118" s="15"/>
    </row>
    <row r="119" spans="16:22" ht="12.75">
      <c r="P119" s="15"/>
      <c r="V119" s="15"/>
    </row>
    <row r="120" spans="16:22" ht="12.75">
      <c r="P120" s="15"/>
      <c r="V120" s="15"/>
    </row>
    <row r="121" spans="16:22" ht="12.75">
      <c r="P121" s="15"/>
      <c r="V121" s="15"/>
    </row>
    <row r="122" spans="16:22" ht="12.75">
      <c r="P122" s="15"/>
      <c r="V122" s="15"/>
    </row>
    <row r="123" spans="16:22" ht="12.75">
      <c r="P123" s="15"/>
      <c r="V123" s="15"/>
    </row>
    <row r="124" spans="16:22" ht="12.75">
      <c r="P124" s="15"/>
      <c r="V124" s="15"/>
    </row>
    <row r="125" spans="16:22" ht="12.75">
      <c r="P125" s="15"/>
      <c r="V125" s="15"/>
    </row>
    <row r="126" spans="16:22" ht="12.75">
      <c r="P126" s="15"/>
      <c r="V126" s="15"/>
    </row>
    <row r="127" spans="16:22" ht="12.75">
      <c r="P127" s="15"/>
      <c r="V127" s="15"/>
    </row>
    <row r="128" spans="16:22" ht="12.75">
      <c r="P128" s="15"/>
      <c r="V128" s="15"/>
    </row>
    <row r="129" spans="16:22" ht="12.75">
      <c r="P129" s="15"/>
      <c r="V129" s="15"/>
    </row>
    <row r="130" spans="16:22" ht="12.75">
      <c r="P130" s="15"/>
      <c r="V130" s="15"/>
    </row>
    <row r="131" spans="16:22" ht="12.75">
      <c r="P131" s="15"/>
      <c r="V131" s="15"/>
    </row>
    <row r="132" spans="16:22" ht="12.75">
      <c r="P132" s="15"/>
      <c r="V132" s="15"/>
    </row>
    <row r="133" spans="16:22" ht="12.75">
      <c r="P133" s="15"/>
      <c r="V133" s="15"/>
    </row>
    <row r="134" spans="16:22" ht="12.75">
      <c r="P134" s="15"/>
      <c r="V134" s="15"/>
    </row>
    <row r="135" spans="16:22" ht="12.75">
      <c r="P135" s="15"/>
      <c r="V135" s="15"/>
    </row>
    <row r="136" spans="16:22" ht="12.75">
      <c r="P136" s="15"/>
      <c r="V136" s="15"/>
    </row>
    <row r="137" spans="16:22" ht="12.75">
      <c r="P137" s="15"/>
      <c r="V137" s="15"/>
    </row>
    <row r="138" spans="16:22" ht="12.75">
      <c r="P138" s="15"/>
      <c r="V138" s="15"/>
    </row>
    <row r="139" spans="16:22" ht="12.75">
      <c r="P139" s="15"/>
      <c r="V139" s="15"/>
    </row>
    <row r="140" spans="16:22" ht="12.75">
      <c r="P140" s="15"/>
      <c r="V140" s="15"/>
    </row>
    <row r="141" spans="16:22" ht="12.75">
      <c r="P141" s="15"/>
      <c r="V141" s="15"/>
    </row>
    <row r="142" spans="16:22" ht="12.75">
      <c r="P142" s="15"/>
      <c r="V142" s="15"/>
    </row>
    <row r="143" spans="16:22" ht="12.75">
      <c r="P143" s="15"/>
      <c r="V143" s="15"/>
    </row>
    <row r="144" spans="16:22" ht="12.75">
      <c r="P144" s="15"/>
      <c r="V144" s="15"/>
    </row>
    <row r="145" spans="16:22" ht="12.75">
      <c r="P145" s="15"/>
      <c r="V145" s="15"/>
    </row>
    <row r="146" spans="16:22" ht="12.75">
      <c r="P146" s="15"/>
      <c r="V146" s="15"/>
    </row>
    <row r="147" spans="16:22" ht="12.75">
      <c r="P147" s="15"/>
      <c r="V147" s="15"/>
    </row>
    <row r="148" spans="16:22" ht="12.75">
      <c r="P148" s="15"/>
      <c r="V148" s="15"/>
    </row>
    <row r="149" spans="16:22" ht="12.75">
      <c r="P149" s="15"/>
      <c r="V149" s="15"/>
    </row>
    <row r="150" spans="16:22" ht="12.75">
      <c r="P150" s="15"/>
      <c r="V150" s="15"/>
    </row>
    <row r="151" spans="16:22" ht="12.75">
      <c r="P151" s="15"/>
      <c r="V151" s="15"/>
    </row>
    <row r="152" spans="16:22" ht="12.75">
      <c r="P152" s="15"/>
      <c r="V152" s="15"/>
    </row>
    <row r="153" spans="16:22" ht="12.75">
      <c r="P153" s="15"/>
      <c r="V153" s="15"/>
    </row>
    <row r="154" spans="16:22" ht="12.75">
      <c r="P154" s="15"/>
      <c r="V154" s="15"/>
    </row>
    <row r="155" spans="16:22" ht="12.75">
      <c r="P155" s="15"/>
      <c r="V155" s="15"/>
    </row>
    <row r="156" spans="16:22" ht="12.75">
      <c r="P156" s="15"/>
      <c r="V156" s="15"/>
    </row>
    <row r="157" spans="16:22" ht="12.75">
      <c r="P157" s="15"/>
      <c r="V157" s="15"/>
    </row>
    <row r="158" spans="16:22" ht="12.75">
      <c r="P158" s="15"/>
      <c r="V158" s="15"/>
    </row>
    <row r="159" spans="16:22" ht="12.75">
      <c r="P159" s="15"/>
      <c r="V159" s="15"/>
    </row>
    <row r="160" spans="16:22" ht="12.75">
      <c r="P160" s="15"/>
      <c r="V160" s="15"/>
    </row>
    <row r="161" spans="16:22" ht="12.75">
      <c r="P161" s="15"/>
      <c r="V161" s="15"/>
    </row>
    <row r="162" spans="16:22" ht="12.75">
      <c r="P162" s="15"/>
      <c r="V162" s="15"/>
    </row>
    <row r="163" spans="16:22" ht="12.75">
      <c r="P163" s="15"/>
      <c r="V163" s="15"/>
    </row>
    <row r="164" spans="16:22" ht="12.75">
      <c r="P164" s="15"/>
      <c r="V164" s="15"/>
    </row>
    <row r="165" spans="16:22" ht="12.75">
      <c r="P165" s="15"/>
      <c r="V165" s="15"/>
    </row>
    <row r="166" spans="16:22" ht="12.75">
      <c r="P166" s="15"/>
      <c r="V166" s="15"/>
    </row>
    <row r="167" spans="16:22" ht="12.75">
      <c r="P167" s="15"/>
      <c r="V167" s="15"/>
    </row>
    <row r="168" spans="16:22" ht="12.75">
      <c r="P168" s="15"/>
      <c r="V168" s="15"/>
    </row>
    <row r="169" spans="16:22" ht="12.75">
      <c r="P169" s="15"/>
      <c r="V169" s="15"/>
    </row>
    <row r="170" spans="16:22" ht="12.75">
      <c r="P170" s="15"/>
      <c r="V170" s="15"/>
    </row>
    <row r="171" spans="16:22" ht="12.75">
      <c r="P171" s="15"/>
      <c r="V171" s="15"/>
    </row>
    <row r="172" spans="16:22" ht="12.75">
      <c r="P172" s="15"/>
      <c r="V172" s="15"/>
    </row>
    <row r="173" spans="16:22" ht="12.75">
      <c r="P173" s="15"/>
      <c r="V173" s="15"/>
    </row>
    <row r="174" spans="16:22" ht="12.75">
      <c r="P174" s="15"/>
      <c r="V174" s="15"/>
    </row>
    <row r="175" spans="16:22" ht="12.75">
      <c r="P175" s="15"/>
      <c r="V175" s="15"/>
    </row>
    <row r="176" spans="16:22" ht="12.75">
      <c r="P176" s="15"/>
      <c r="V176" s="15"/>
    </row>
    <row r="177" spans="16:22" ht="12.75">
      <c r="P177" s="15"/>
      <c r="V177" s="15"/>
    </row>
    <row r="178" spans="16:22" ht="12.75">
      <c r="P178" s="15"/>
      <c r="V178" s="15"/>
    </row>
    <row r="179" spans="16:22" ht="12.75">
      <c r="P179" s="15"/>
      <c r="V179" s="15"/>
    </row>
    <row r="180" spans="16:22" ht="12.75">
      <c r="P180" s="15"/>
      <c r="V180" s="15"/>
    </row>
    <row r="181" spans="16:22" ht="12.75">
      <c r="P181" s="15"/>
      <c r="V181" s="15"/>
    </row>
    <row r="182" spans="16:22" ht="12.75">
      <c r="P182" s="15"/>
      <c r="V182" s="15"/>
    </row>
    <row r="183" spans="16:22" ht="12.75">
      <c r="P183" s="15"/>
      <c r="V183" s="15"/>
    </row>
    <row r="184" spans="16:22" ht="12.75">
      <c r="P184" s="15"/>
      <c r="V184" s="15"/>
    </row>
    <row r="185" spans="16:22" ht="12.75">
      <c r="P185" s="15"/>
      <c r="V185" s="15"/>
    </row>
    <row r="186" spans="16:22" ht="12.75">
      <c r="P186" s="15"/>
      <c r="V186" s="15"/>
    </row>
    <row r="187" spans="16:22" ht="12.75">
      <c r="P187" s="15"/>
      <c r="V187" s="15"/>
    </row>
    <row r="188" spans="16:22" ht="12.75">
      <c r="P188" s="15"/>
      <c r="V188" s="15"/>
    </row>
    <row r="189" spans="16:22" ht="12.75">
      <c r="P189" s="15"/>
      <c r="V189" s="15"/>
    </row>
    <row r="190" spans="16:22" ht="12.75">
      <c r="P190" s="15"/>
      <c r="V190" s="15"/>
    </row>
    <row r="191" spans="16:22" ht="12.75">
      <c r="P191" s="15"/>
      <c r="V191" s="15"/>
    </row>
    <row r="192" spans="16:22" ht="12.75">
      <c r="P192" s="15"/>
      <c r="V192" s="15"/>
    </row>
    <row r="193" spans="16:22" ht="12.75">
      <c r="P193" s="15"/>
      <c r="V193" s="15"/>
    </row>
    <row r="194" spans="16:22" ht="12.75">
      <c r="P194" s="15"/>
      <c r="V194" s="15"/>
    </row>
    <row r="195" spans="16:22" ht="12.75">
      <c r="P195" s="15"/>
      <c r="V195" s="15"/>
    </row>
    <row r="196" spans="16:22" ht="12.75">
      <c r="P196" s="15"/>
      <c r="V196" s="15"/>
    </row>
    <row r="197" spans="16:22" ht="12.75">
      <c r="P197" s="15"/>
      <c r="V197" s="15"/>
    </row>
    <row r="198" spans="16:22" ht="12.75">
      <c r="P198" s="15"/>
      <c r="V198" s="15"/>
    </row>
    <row r="199" spans="16:22" ht="12.75">
      <c r="P199" s="15"/>
      <c r="V199" s="15"/>
    </row>
    <row r="200" spans="16:22" ht="12.75">
      <c r="P200" s="15"/>
      <c r="V200" s="15"/>
    </row>
    <row r="201" spans="16:22" ht="12.75">
      <c r="P201" s="15"/>
      <c r="V201" s="15"/>
    </row>
    <row r="202" spans="16:22" ht="12.75">
      <c r="P202" s="15"/>
      <c r="V202" s="15"/>
    </row>
    <row r="203" spans="16:22" ht="12.75">
      <c r="P203" s="15"/>
      <c r="V203" s="15"/>
    </row>
    <row r="204" spans="16:22" ht="12.75">
      <c r="P204" s="15"/>
      <c r="V204" s="15"/>
    </row>
    <row r="205" spans="16:22" ht="12.75">
      <c r="P205" s="15"/>
      <c r="V205" s="15"/>
    </row>
    <row r="206" spans="16:22" ht="12.75">
      <c r="P206" s="15"/>
      <c r="V206" s="15"/>
    </row>
    <row r="207" spans="16:22" ht="12.75">
      <c r="P207" s="15"/>
      <c r="V207" s="15"/>
    </row>
    <row r="208" spans="16:22" ht="12.75">
      <c r="P208" s="15"/>
      <c r="V208" s="15"/>
    </row>
    <row r="209" spans="16:22" ht="12.75">
      <c r="P209" s="15"/>
      <c r="V209" s="15"/>
    </row>
    <row r="210" spans="16:22" ht="12.75">
      <c r="P210" s="15"/>
      <c r="V210" s="15"/>
    </row>
    <row r="211" spans="16:22" ht="12.75">
      <c r="P211" s="15"/>
      <c r="V211" s="15"/>
    </row>
    <row r="212" spans="16:22" ht="12.75">
      <c r="P212" s="15"/>
      <c r="V212" s="15"/>
    </row>
    <row r="213" spans="16:22" ht="12.75">
      <c r="P213" s="15"/>
      <c r="V213" s="15"/>
    </row>
    <row r="214" spans="16:22" ht="12.75">
      <c r="P214" s="15"/>
      <c r="V214" s="15"/>
    </row>
    <row r="215" spans="16:22" ht="12.75">
      <c r="P215" s="15"/>
      <c r="V215" s="15"/>
    </row>
    <row r="216" spans="16:22" ht="12.75">
      <c r="P216" s="15"/>
      <c r="V216" s="15"/>
    </row>
    <row r="217" spans="16:22" ht="12.75">
      <c r="P217" s="15"/>
      <c r="V217" s="15"/>
    </row>
    <row r="218" spans="16:22" ht="12.75">
      <c r="P218" s="15"/>
      <c r="V218" s="15"/>
    </row>
    <row r="219" spans="16:22" ht="12.75">
      <c r="P219" s="15"/>
      <c r="V219" s="15"/>
    </row>
    <row r="220" spans="16:22" ht="12.75">
      <c r="P220" s="15"/>
      <c r="V220" s="15"/>
    </row>
    <row r="221" spans="16:22" ht="12.75">
      <c r="P221" s="15"/>
      <c r="V221" s="15"/>
    </row>
    <row r="222" spans="16:22" ht="12.75">
      <c r="P222" s="15"/>
      <c r="V222" s="15"/>
    </row>
    <row r="223" spans="16:22" ht="12.75">
      <c r="P223" s="15"/>
      <c r="V223" s="15"/>
    </row>
    <row r="224" spans="16:22" ht="12.75">
      <c r="P224" s="15"/>
      <c r="V224" s="15"/>
    </row>
    <row r="225" spans="16:22" ht="12.75">
      <c r="P225" s="15"/>
      <c r="V225" s="15"/>
    </row>
    <row r="226" spans="16:22" ht="12.75">
      <c r="P226" s="15"/>
      <c r="V226" s="15"/>
    </row>
    <row r="227" spans="16:22" ht="12.75">
      <c r="P227" s="15"/>
      <c r="V227" s="15"/>
    </row>
    <row r="228" spans="16:22" ht="12.75">
      <c r="P228" s="15"/>
      <c r="V228" s="15"/>
    </row>
    <row r="229" spans="16:22" ht="12.75">
      <c r="P229" s="15"/>
      <c r="V229" s="15"/>
    </row>
    <row r="230" spans="16:22" ht="12.75">
      <c r="P230" s="15"/>
      <c r="V230" s="15"/>
    </row>
    <row r="231" spans="16:22" ht="12.75">
      <c r="P231" s="15"/>
      <c r="V231" s="15"/>
    </row>
    <row r="232" spans="16:22" ht="12.75">
      <c r="P232" s="15"/>
      <c r="V232" s="15"/>
    </row>
    <row r="233" spans="16:22" ht="12.75">
      <c r="P233" s="15"/>
      <c r="V233" s="15"/>
    </row>
    <row r="234" spans="16:22" ht="12.75">
      <c r="P234" s="15"/>
      <c r="V234" s="15"/>
    </row>
    <row r="235" spans="16:22" ht="12.75">
      <c r="P235" s="15"/>
      <c r="V235" s="15"/>
    </row>
    <row r="236" spans="16:22" ht="12.75">
      <c r="P236" s="15"/>
      <c r="V236" s="15"/>
    </row>
    <row r="237" spans="16:22" ht="12.75">
      <c r="P237" s="15"/>
      <c r="V237" s="15"/>
    </row>
    <row r="238" spans="16:22" ht="12.75">
      <c r="P238" s="15"/>
      <c r="V238" s="15"/>
    </row>
    <row r="239" spans="16:22" ht="12.75">
      <c r="P239" s="15"/>
      <c r="V239" s="15"/>
    </row>
    <row r="240" spans="16:22" ht="12.75">
      <c r="P240" s="15"/>
      <c r="V240" s="15"/>
    </row>
    <row r="241" spans="16:22" ht="12.75">
      <c r="P241" s="15"/>
      <c r="V241" s="15"/>
    </row>
    <row r="242" spans="16:22" ht="12.75">
      <c r="P242" s="15"/>
      <c r="V242" s="15"/>
    </row>
    <row r="243" spans="16:22" ht="12.75">
      <c r="P243" s="15"/>
      <c r="V243" s="15"/>
    </row>
    <row r="244" spans="16:22" ht="12.75">
      <c r="P244" s="15"/>
      <c r="V244" s="15"/>
    </row>
    <row r="245" spans="16:22" ht="12.75">
      <c r="P245" s="15"/>
      <c r="V245" s="15"/>
    </row>
    <row r="246" spans="16:22" ht="12.75">
      <c r="P246" s="15"/>
      <c r="V246" s="15"/>
    </row>
    <row r="247" spans="16:22" ht="12.75">
      <c r="P247" s="15"/>
      <c r="V247" s="15"/>
    </row>
    <row r="248" spans="16:22" ht="12.75">
      <c r="P248" s="15"/>
      <c r="V248" s="15"/>
    </row>
    <row r="249" spans="16:22" ht="12.75">
      <c r="P249" s="15"/>
      <c r="V249" s="15"/>
    </row>
    <row r="250" spans="16:22" ht="12.75">
      <c r="P250" s="15"/>
      <c r="V250" s="15"/>
    </row>
    <row r="251" spans="16:22" ht="12.75">
      <c r="P251" s="15"/>
      <c r="V251" s="15"/>
    </row>
    <row r="252" spans="16:22" ht="12.75">
      <c r="P252" s="15"/>
      <c r="V252" s="15"/>
    </row>
    <row r="253" spans="16:22" ht="12.75">
      <c r="P253" s="15"/>
      <c r="V253" s="15"/>
    </row>
    <row r="254" spans="16:22" ht="12.75">
      <c r="P254" s="15"/>
      <c r="V254" s="15"/>
    </row>
    <row r="255" spans="16:22" ht="12.75">
      <c r="P255" s="15"/>
      <c r="V255" s="15"/>
    </row>
    <row r="256" spans="16:22" ht="12.75">
      <c r="P256" s="15"/>
      <c r="V256" s="15"/>
    </row>
    <row r="257" spans="16:22" ht="12.75">
      <c r="P257" s="15"/>
      <c r="V257" s="15"/>
    </row>
    <row r="258" spans="16:22" ht="12.75">
      <c r="P258" s="15"/>
      <c r="V258" s="15"/>
    </row>
    <row r="259" spans="16:22" ht="12.75">
      <c r="P259" s="15"/>
      <c r="V259" s="15"/>
    </row>
    <row r="260" spans="16:22" ht="12.75">
      <c r="P260" s="15"/>
      <c r="V260" s="15"/>
    </row>
    <row r="261" spans="16:22" ht="12.75">
      <c r="P261" s="15"/>
      <c r="V261" s="15"/>
    </row>
    <row r="262" spans="16:22" ht="12.75">
      <c r="P262" s="15"/>
      <c r="V262" s="15"/>
    </row>
    <row r="263" spans="16:22" ht="12.75">
      <c r="P263" s="15"/>
      <c r="V263" s="15"/>
    </row>
    <row r="264" spans="16:22" ht="12.75">
      <c r="P264" s="15"/>
      <c r="V264" s="15"/>
    </row>
    <row r="265" spans="16:22" ht="12.75">
      <c r="P265" s="15"/>
      <c r="V265" s="15"/>
    </row>
    <row r="266" spans="16:22" ht="12.75">
      <c r="P266" s="15"/>
      <c r="V266" s="15"/>
    </row>
    <row r="267" spans="16:22" ht="12.75">
      <c r="P267" s="15"/>
      <c r="V267" s="15"/>
    </row>
    <row r="268" spans="16:22" ht="12.75">
      <c r="P268" s="15"/>
      <c r="V268" s="15"/>
    </row>
    <row r="269" spans="16:22" ht="12.75">
      <c r="P269" s="15"/>
      <c r="V269" s="15"/>
    </row>
    <row r="270" spans="16:22" ht="12.75">
      <c r="P270" s="15"/>
      <c r="V270" s="15"/>
    </row>
    <row r="271" spans="16:22" ht="12.75">
      <c r="P271" s="15"/>
      <c r="V271" s="15"/>
    </row>
    <row r="272" spans="16:22" ht="12.75">
      <c r="P272" s="15"/>
      <c r="V272" s="15"/>
    </row>
    <row r="273" spans="16:22" ht="12.75">
      <c r="P273" s="15"/>
      <c r="V273" s="15"/>
    </row>
    <row r="274" spans="16:22" ht="12.75">
      <c r="P274" s="15"/>
      <c r="V274" s="15"/>
    </row>
    <row r="275" spans="16:22" ht="12.75">
      <c r="P275" s="15"/>
      <c r="V275" s="15"/>
    </row>
    <row r="276" spans="16:22" ht="12.75">
      <c r="P276" s="15"/>
      <c r="V276" s="15"/>
    </row>
    <row r="277" spans="16:22" ht="12.75">
      <c r="P277" s="15"/>
      <c r="V277" s="15"/>
    </row>
    <row r="278" spans="16:22" ht="12.75">
      <c r="P278" s="15"/>
      <c r="V278" s="15"/>
    </row>
    <row r="279" spans="16:22" ht="12.75">
      <c r="P279" s="15"/>
      <c r="V279" s="15"/>
    </row>
    <row r="280" spans="16:22" ht="12.75">
      <c r="P280" s="15"/>
      <c r="V280" s="15"/>
    </row>
    <row r="281" spans="16:22" ht="12.75">
      <c r="P281" s="15"/>
      <c r="V281" s="15"/>
    </row>
    <row r="282" spans="16:22" ht="12.75">
      <c r="P282" s="15"/>
      <c r="V282" s="15"/>
    </row>
    <row r="283" spans="16:22" ht="12.75">
      <c r="P283" s="15"/>
      <c r="V283" s="15"/>
    </row>
    <row r="284" spans="16:22" ht="12.75">
      <c r="P284" s="15"/>
      <c r="V284" s="15"/>
    </row>
    <row r="285" spans="16:22" ht="12.75">
      <c r="P285" s="15"/>
      <c r="V285" s="15"/>
    </row>
    <row r="286" spans="16:22" ht="12.75">
      <c r="P286" s="15"/>
      <c r="V286" s="15"/>
    </row>
    <row r="287" spans="16:22" ht="12.75">
      <c r="P287" s="15"/>
      <c r="V287" s="15"/>
    </row>
    <row r="288" spans="16:22" ht="12.75">
      <c r="P288" s="15"/>
      <c r="V288" s="15"/>
    </row>
    <row r="289" spans="16:22" ht="12.75">
      <c r="P289" s="15"/>
      <c r="V289" s="15"/>
    </row>
    <row r="290" spans="16:22" ht="12.75">
      <c r="P290" s="15"/>
      <c r="V290" s="15"/>
    </row>
    <row r="291" spans="16:22" ht="12.75">
      <c r="P291" s="15"/>
      <c r="V291" s="15"/>
    </row>
    <row r="292" spans="16:22" ht="12.75">
      <c r="P292" s="15"/>
      <c r="V292" s="15"/>
    </row>
    <row r="293" spans="16:22" ht="12.75">
      <c r="P293" s="15"/>
      <c r="V293" s="15"/>
    </row>
    <row r="294" spans="16:22" ht="12.75">
      <c r="P294" s="15"/>
      <c r="V294" s="15"/>
    </row>
    <row r="295" spans="16:22" ht="12.75">
      <c r="P295" s="15"/>
      <c r="V295" s="15"/>
    </row>
    <row r="296" spans="16:22" ht="12.75">
      <c r="P296" s="15"/>
      <c r="V296" s="15"/>
    </row>
    <row r="297" spans="16:22" ht="12.75">
      <c r="P297" s="15"/>
      <c r="V297" s="15"/>
    </row>
    <row r="298" spans="16:22" ht="12.75">
      <c r="P298" s="15"/>
      <c r="V298" s="15"/>
    </row>
    <row r="299" spans="16:22" ht="12.75">
      <c r="P299" s="15"/>
      <c r="V299" s="15"/>
    </row>
    <row r="300" spans="16:22" ht="12.75">
      <c r="P300" s="15"/>
      <c r="V300" s="15"/>
    </row>
    <row r="301" spans="16:22" ht="12.75">
      <c r="P301" s="15"/>
      <c r="V301" s="15"/>
    </row>
    <row r="302" spans="16:22" ht="12.75">
      <c r="P302" s="15"/>
      <c r="V302" s="15"/>
    </row>
    <row r="303" spans="16:22" ht="12.75">
      <c r="P303" s="15"/>
      <c r="V303" s="15"/>
    </row>
    <row r="304" spans="16:22" ht="12.75">
      <c r="P304" s="15"/>
      <c r="V304" s="15"/>
    </row>
    <row r="305" spans="16:22" ht="12.75">
      <c r="P305" s="15"/>
      <c r="V305" s="15"/>
    </row>
    <row r="306" spans="16:22" ht="12.75">
      <c r="P306" s="15"/>
      <c r="V306" s="15"/>
    </row>
    <row r="307" spans="16:22" ht="12.75">
      <c r="P307" s="15"/>
      <c r="V307" s="15"/>
    </row>
    <row r="308" spans="16:22" ht="12.75">
      <c r="P308" s="15"/>
      <c r="V308" s="15"/>
    </row>
    <row r="309" spans="16:22" ht="12.75">
      <c r="P309" s="15"/>
      <c r="V309" s="15"/>
    </row>
    <row r="310" spans="16:22" ht="12.75">
      <c r="P310" s="15"/>
      <c r="V310" s="15"/>
    </row>
    <row r="311" spans="16:22" ht="12.75">
      <c r="P311" s="15"/>
      <c r="V311" s="15"/>
    </row>
    <row r="312" spans="16:22" ht="12.75">
      <c r="P312" s="15"/>
      <c r="V312" s="15"/>
    </row>
    <row r="313" spans="16:22" ht="12.75">
      <c r="P313" s="15"/>
      <c r="V313" s="15"/>
    </row>
    <row r="314" spans="16:22" ht="12.75">
      <c r="P314" s="15"/>
      <c r="V314" s="15"/>
    </row>
    <row r="315" spans="16:22" ht="12.75">
      <c r="P315" s="15"/>
      <c r="V315" s="15"/>
    </row>
    <row r="316" spans="16:22" ht="12.75">
      <c r="P316" s="15"/>
      <c r="V316" s="15"/>
    </row>
    <row r="317" spans="16:22" ht="12.75">
      <c r="P317" s="15"/>
      <c r="V317" s="15"/>
    </row>
    <row r="318" spans="16:22" ht="12.75">
      <c r="P318" s="15"/>
      <c r="V318" s="15"/>
    </row>
    <row r="319" spans="16:22" ht="12.75">
      <c r="P319" s="15"/>
      <c r="V319" s="15"/>
    </row>
    <row r="320" spans="16:22" ht="12.75">
      <c r="P320" s="15"/>
      <c r="V320" s="15"/>
    </row>
    <row r="321" spans="16:22" ht="12.75">
      <c r="P321" s="15"/>
      <c r="V321" s="15"/>
    </row>
    <row r="322" spans="16:22" ht="12.75">
      <c r="P322" s="15"/>
      <c r="V322" s="15"/>
    </row>
    <row r="323" spans="16:22" ht="12.75">
      <c r="P323" s="15"/>
      <c r="V323" s="15"/>
    </row>
    <row r="324" spans="16:22" ht="12.75">
      <c r="P324" s="15"/>
      <c r="V324" s="15"/>
    </row>
    <row r="325" spans="16:22" ht="12.75">
      <c r="P325" s="15"/>
      <c r="V325" s="15"/>
    </row>
    <row r="326" spans="16:22" ht="12.75">
      <c r="P326" s="15"/>
      <c r="V326" s="15"/>
    </row>
    <row r="327" spans="16:22" ht="12.75">
      <c r="P327" s="15"/>
      <c r="V327" s="15"/>
    </row>
    <row r="328" spans="16:22" ht="12.75">
      <c r="P328" s="15"/>
      <c r="V328" s="15"/>
    </row>
    <row r="329" spans="16:22" ht="12.75">
      <c r="P329" s="15"/>
      <c r="V329" s="15"/>
    </row>
    <row r="330" spans="16:22" ht="12.75">
      <c r="P330" s="15"/>
      <c r="V330" s="15"/>
    </row>
    <row r="331" spans="16:22" ht="12.75">
      <c r="P331" s="15"/>
      <c r="V331" s="15"/>
    </row>
    <row r="332" spans="16:22" ht="12.75">
      <c r="P332" s="15"/>
      <c r="V332" s="15"/>
    </row>
    <row r="333" spans="16:22" ht="12.75">
      <c r="P333" s="15"/>
      <c r="V333" s="15"/>
    </row>
    <row r="334" spans="16:22" ht="12.75">
      <c r="P334" s="15"/>
      <c r="V334" s="15"/>
    </row>
    <row r="335" spans="16:22" ht="12.75">
      <c r="P335" s="15"/>
      <c r="V335" s="15"/>
    </row>
    <row r="336" spans="16:22" ht="12.75">
      <c r="P336" s="15"/>
      <c r="V336" s="15"/>
    </row>
    <row r="337" spans="16:22" ht="12.75">
      <c r="P337" s="15"/>
      <c r="V337" s="15"/>
    </row>
    <row r="338" spans="16:22" ht="12.75">
      <c r="P338" s="15"/>
      <c r="V338" s="15"/>
    </row>
    <row r="339" spans="16:22" ht="12.75">
      <c r="P339" s="15"/>
      <c r="V339" s="15"/>
    </row>
    <row r="340" spans="16:22" ht="12.75">
      <c r="P340" s="15"/>
      <c r="V340" s="15"/>
    </row>
    <row r="341" spans="16:22" ht="12.75">
      <c r="P341" s="15"/>
      <c r="V341" s="15"/>
    </row>
    <row r="342" spans="16:22" ht="12.75">
      <c r="P342" s="15"/>
      <c r="V342" s="15"/>
    </row>
    <row r="343" spans="16:22" ht="12.75">
      <c r="P343" s="15"/>
      <c r="V343" s="15"/>
    </row>
    <row r="344" spans="16:22" ht="12.75">
      <c r="P344" s="15"/>
      <c r="V344" s="15"/>
    </row>
    <row r="345" spans="16:22" ht="12.75">
      <c r="P345" s="15"/>
      <c r="V345" s="15"/>
    </row>
    <row r="346" spans="16:22" ht="12.75">
      <c r="P346" s="15"/>
      <c r="V346" s="15"/>
    </row>
    <row r="347" spans="16:22" ht="12.75">
      <c r="P347" s="15"/>
      <c r="V347" s="15"/>
    </row>
    <row r="348" spans="16:22" ht="12.75">
      <c r="P348" s="15"/>
      <c r="V348" s="15"/>
    </row>
    <row r="349" spans="16:22" ht="12.75">
      <c r="P349" s="15"/>
      <c r="V349" s="15"/>
    </row>
    <row r="350" spans="16:22" ht="12.75">
      <c r="P350" s="15"/>
      <c r="V350" s="15"/>
    </row>
    <row r="351" spans="16:22" ht="12.75">
      <c r="P351" s="15"/>
      <c r="V351" s="15"/>
    </row>
    <row r="352" spans="16:22" ht="12.75">
      <c r="P352" s="15"/>
      <c r="V352" s="15"/>
    </row>
    <row r="353" spans="16:22" ht="12.75">
      <c r="P353" s="15"/>
      <c r="V353" s="15"/>
    </row>
    <row r="354" spans="16:22" ht="12.75">
      <c r="P354" s="15"/>
      <c r="V354" s="15"/>
    </row>
    <row r="355" spans="16:22" ht="12.75">
      <c r="P355" s="15"/>
      <c r="V355" s="15"/>
    </row>
    <row r="356" spans="16:22" ht="12.75">
      <c r="P356" s="15"/>
      <c r="V356" s="15"/>
    </row>
    <row r="357" spans="16:22" ht="12.75">
      <c r="P357" s="15"/>
      <c r="V357" s="15"/>
    </row>
    <row r="358" spans="16:22" ht="12.75">
      <c r="P358" s="15"/>
      <c r="V358" s="15"/>
    </row>
    <row r="359" spans="16:22" ht="12.75">
      <c r="P359" s="15"/>
      <c r="V359" s="15"/>
    </row>
    <row r="360" spans="16:22" ht="12.75">
      <c r="P360" s="15"/>
      <c r="V360" s="15"/>
    </row>
    <row r="361" spans="16:22" ht="12.75">
      <c r="P361" s="15"/>
      <c r="V361" s="15"/>
    </row>
    <row r="362" spans="16:22" ht="12.75">
      <c r="P362" s="15"/>
      <c r="V362" s="15"/>
    </row>
    <row r="363" spans="16:22" ht="12.75">
      <c r="P363" s="15"/>
      <c r="V363" s="15"/>
    </row>
    <row r="364" spans="16:22" ht="12.75">
      <c r="P364" s="15"/>
      <c r="V364" s="15"/>
    </row>
    <row r="365" spans="16:22" ht="12.75">
      <c r="P365" s="15"/>
      <c r="V365" s="15"/>
    </row>
    <row r="366" spans="16:22" ht="12.75">
      <c r="P366" s="15"/>
      <c r="V366" s="15"/>
    </row>
    <row r="367" spans="16:22" ht="12.75">
      <c r="P367" s="15"/>
      <c r="V367" s="15"/>
    </row>
    <row r="368" spans="16:22" ht="12.75">
      <c r="P368" s="15"/>
      <c r="V368" s="15"/>
    </row>
    <row r="369" spans="16:22" ht="12.75">
      <c r="P369" s="15"/>
      <c r="V369" s="15"/>
    </row>
    <row r="370" spans="16:22" ht="12.75">
      <c r="P370" s="15"/>
      <c r="V370" s="15"/>
    </row>
    <row r="371" spans="16:22" ht="12.75">
      <c r="P371" s="15"/>
      <c r="V371" s="15"/>
    </row>
    <row r="372" spans="16:22" ht="12.75">
      <c r="P372" s="15"/>
      <c r="V372" s="15"/>
    </row>
    <row r="373" spans="16:22" ht="12.75">
      <c r="P373" s="15"/>
      <c r="V373" s="15"/>
    </row>
    <row r="374" spans="16:22" ht="12.75">
      <c r="P374" s="15"/>
      <c r="V374" s="15"/>
    </row>
    <row r="375" spans="16:22" ht="12.75">
      <c r="P375" s="15"/>
      <c r="V375" s="15"/>
    </row>
    <row r="376" spans="16:22" ht="12.75">
      <c r="P376" s="15"/>
      <c r="V376" s="15"/>
    </row>
    <row r="377" spans="16:22" ht="12.75">
      <c r="P377" s="15"/>
      <c r="V377" s="15"/>
    </row>
    <row r="378" spans="16:22" ht="12.75">
      <c r="P378" s="15"/>
      <c r="V378" s="15"/>
    </row>
    <row r="379" spans="16:22" ht="12.75">
      <c r="P379" s="15"/>
      <c r="V379" s="15"/>
    </row>
    <row r="380" spans="16:22" ht="12.75">
      <c r="P380" s="15"/>
      <c r="V380" s="15"/>
    </row>
    <row r="381" spans="16:22" ht="12.75">
      <c r="P381" s="15"/>
      <c r="V381" s="15"/>
    </row>
    <row r="382" spans="16:22" ht="12.75">
      <c r="P382" s="15"/>
      <c r="V382" s="15"/>
    </row>
    <row r="383" spans="16:22" ht="12.75">
      <c r="P383" s="15"/>
      <c r="V383" s="15"/>
    </row>
    <row r="384" spans="16:22" ht="12.75">
      <c r="P384" s="15"/>
      <c r="V384" s="15"/>
    </row>
    <row r="385" spans="16:22" ht="12.75">
      <c r="P385" s="15"/>
      <c r="V385" s="15"/>
    </row>
    <row r="386" spans="16:22" ht="12.75">
      <c r="P386" s="15"/>
      <c r="V386" s="15"/>
    </row>
    <row r="387" spans="16:22" ht="12.75">
      <c r="P387" s="15"/>
      <c r="V387" s="15"/>
    </row>
    <row r="388" spans="16:22" ht="12.75">
      <c r="P388" s="15"/>
      <c r="V388" s="15"/>
    </row>
    <row r="389" spans="16:22" ht="12.75">
      <c r="P389" s="15"/>
      <c r="V389" s="15"/>
    </row>
    <row r="390" spans="16:22" ht="12.75">
      <c r="P390" s="15"/>
      <c r="V390" s="15"/>
    </row>
    <row r="391" spans="16:22" ht="12.75">
      <c r="P391" s="15"/>
      <c r="V391" s="15"/>
    </row>
    <row r="392" spans="16:22" ht="12.75">
      <c r="P392" s="15"/>
      <c r="V392" s="15"/>
    </row>
    <row r="393" spans="16:22" ht="12.75">
      <c r="P393" s="15"/>
      <c r="V393" s="15"/>
    </row>
    <row r="394" spans="16:22" ht="12.75">
      <c r="P394" s="15"/>
      <c r="V394" s="15"/>
    </row>
    <row r="395" spans="16:22" ht="12.75">
      <c r="P395" s="15"/>
      <c r="V395" s="15"/>
    </row>
    <row r="396" spans="16:22" ht="12.75">
      <c r="P396" s="15"/>
      <c r="V396" s="15"/>
    </row>
    <row r="397" spans="16:22" ht="12.75">
      <c r="P397" s="15"/>
      <c r="V397" s="15"/>
    </row>
    <row r="398" spans="16:22" ht="12.75">
      <c r="P398" s="15"/>
      <c r="V398" s="15"/>
    </row>
    <row r="399" spans="16:22" ht="12.75">
      <c r="P399" s="15"/>
      <c r="V399" s="15"/>
    </row>
    <row r="400" spans="16:22" ht="12.75">
      <c r="P400" s="15"/>
      <c r="V400" s="15"/>
    </row>
    <row r="401" spans="16:22" ht="12.75">
      <c r="P401" s="15"/>
      <c r="V401" s="15"/>
    </row>
    <row r="402" spans="16:22" ht="12.75">
      <c r="P402" s="15"/>
      <c r="V402" s="15"/>
    </row>
    <row r="403" spans="16:22" ht="12.75">
      <c r="P403" s="15"/>
      <c r="V403" s="15"/>
    </row>
    <row r="404" spans="16:22" ht="12.75">
      <c r="P404" s="15"/>
      <c r="V404" s="15"/>
    </row>
    <row r="405" spans="16:22" ht="12.75">
      <c r="P405" s="15"/>
      <c r="V405" s="15"/>
    </row>
    <row r="406" spans="16:22" ht="12.75">
      <c r="P406" s="15"/>
      <c r="V406" s="15"/>
    </row>
    <row r="407" spans="16:22" ht="12.75">
      <c r="P407" s="15"/>
      <c r="V407" s="15"/>
    </row>
    <row r="408" spans="16:22" ht="12.75">
      <c r="P408" s="15"/>
      <c r="V408" s="15"/>
    </row>
    <row r="409" spans="16:22" ht="12.75">
      <c r="P409" s="15"/>
      <c r="V409" s="15"/>
    </row>
    <row r="410" spans="16:22" ht="12.75">
      <c r="P410" s="15"/>
      <c r="V410" s="15"/>
    </row>
    <row r="411" spans="16:22" ht="12.75">
      <c r="P411" s="15"/>
      <c r="V411" s="15"/>
    </row>
    <row r="412" spans="16:22" ht="12.75">
      <c r="P412" s="15"/>
      <c r="V412" s="15"/>
    </row>
    <row r="413" spans="16:22" ht="12.75">
      <c r="P413" s="15"/>
      <c r="V413" s="15"/>
    </row>
    <row r="414" spans="16:22" ht="12.75">
      <c r="P414" s="15"/>
      <c r="V414" s="15"/>
    </row>
    <row r="415" spans="16:22" ht="12.75">
      <c r="P415" s="15"/>
      <c r="V415" s="15"/>
    </row>
    <row r="416" spans="16:22" ht="12.75">
      <c r="P416" s="15"/>
      <c r="V416" s="15"/>
    </row>
    <row r="417" spans="16:22" ht="12.75">
      <c r="P417" s="15"/>
      <c r="V417" s="15"/>
    </row>
    <row r="418" spans="16:22" ht="12.75">
      <c r="P418" s="15"/>
      <c r="V418" s="15"/>
    </row>
    <row r="419" spans="16:22" ht="12.75">
      <c r="P419" s="15"/>
      <c r="V419" s="15"/>
    </row>
    <row r="420" spans="16:22" ht="12.75">
      <c r="P420" s="15"/>
      <c r="V420" s="15"/>
    </row>
    <row r="421" spans="16:22" ht="12.75">
      <c r="P421" s="15"/>
      <c r="V421" s="15"/>
    </row>
    <row r="422" spans="16:22" ht="12.75">
      <c r="P422" s="15"/>
      <c r="V422" s="15"/>
    </row>
    <row r="423" spans="16:22" ht="12.75">
      <c r="P423" s="15"/>
      <c r="V423" s="15"/>
    </row>
    <row r="424" spans="16:22" ht="12.75">
      <c r="P424" s="15"/>
      <c r="V424" s="15"/>
    </row>
    <row r="425" spans="16:22" ht="12.75">
      <c r="P425" s="15"/>
      <c r="V425" s="15"/>
    </row>
    <row r="426" spans="16:22" ht="12.75">
      <c r="P426" s="15"/>
      <c r="V426" s="15"/>
    </row>
    <row r="427" spans="16:22" ht="12.75">
      <c r="P427" s="15"/>
      <c r="V427" s="15"/>
    </row>
    <row r="428" spans="16:22" ht="12.75">
      <c r="P428" s="15"/>
      <c r="V428" s="15"/>
    </row>
    <row r="429" spans="16:22" ht="12.75">
      <c r="P429" s="15"/>
      <c r="V429" s="15"/>
    </row>
    <row r="430" spans="16:22" ht="12.75">
      <c r="P430" s="15"/>
      <c r="V430" s="15"/>
    </row>
    <row r="431" spans="16:22" ht="12.75">
      <c r="P431" s="15"/>
      <c r="V431" s="15"/>
    </row>
    <row r="432" spans="16:22" ht="12.75">
      <c r="P432" s="15"/>
      <c r="V432" s="15"/>
    </row>
    <row r="433" spans="16:22" ht="12.75">
      <c r="P433" s="15"/>
      <c r="V433" s="15"/>
    </row>
    <row r="434" spans="16:22" ht="12.75">
      <c r="P434" s="15"/>
      <c r="V434" s="15"/>
    </row>
    <row r="435" spans="16:22" ht="12.75">
      <c r="P435" s="15"/>
      <c r="V435" s="15"/>
    </row>
    <row r="436" spans="16:22" ht="12.75">
      <c r="P436" s="15"/>
      <c r="V436" s="15"/>
    </row>
    <row r="437" spans="16:22" ht="12.75">
      <c r="P437" s="15"/>
      <c r="V437" s="15"/>
    </row>
    <row r="438" spans="16:22" ht="12.75">
      <c r="P438" s="15"/>
      <c r="V438" s="15"/>
    </row>
    <row r="439" spans="16:22" ht="12.75">
      <c r="P439" s="15"/>
      <c r="V439" s="15"/>
    </row>
    <row r="440" spans="16:22" ht="12.75">
      <c r="P440" s="15"/>
      <c r="V440" s="15"/>
    </row>
    <row r="441" spans="16:22" ht="12.75">
      <c r="P441" s="15"/>
      <c r="V441" s="15"/>
    </row>
    <row r="442" spans="16:22" ht="12.75">
      <c r="P442" s="15"/>
      <c r="V442" s="15"/>
    </row>
    <row r="443" spans="16:22" ht="12.75">
      <c r="P443" s="15"/>
      <c r="V443" s="15"/>
    </row>
    <row r="444" spans="16:22" ht="12.75">
      <c r="P444" s="15"/>
      <c r="V444" s="15"/>
    </row>
    <row r="445" spans="16:22" ht="12.75">
      <c r="P445" s="15"/>
      <c r="V445" s="15"/>
    </row>
    <row r="446" spans="16:22" ht="12.75">
      <c r="P446" s="15"/>
      <c r="V446" s="15"/>
    </row>
    <row r="447" spans="16:22" ht="12.75">
      <c r="P447" s="15"/>
      <c r="V447" s="15"/>
    </row>
    <row r="448" spans="16:22" ht="12.75">
      <c r="P448" s="15"/>
      <c r="V448" s="15"/>
    </row>
    <row r="449" spans="16:22" ht="12.75">
      <c r="P449" s="15"/>
      <c r="V449" s="15"/>
    </row>
    <row r="450" spans="16:22" ht="12.75">
      <c r="P450" s="15"/>
      <c r="V450" s="15"/>
    </row>
    <row r="451" spans="16:22" ht="12.75">
      <c r="P451" s="15"/>
      <c r="V451" s="15"/>
    </row>
    <row r="452" spans="16:22" ht="12.75">
      <c r="P452" s="15"/>
      <c r="V452" s="15"/>
    </row>
    <row r="453" spans="16:22" ht="12.75">
      <c r="P453" s="15"/>
      <c r="V453" s="15"/>
    </row>
    <row r="454" spans="16:22" ht="12.75">
      <c r="P454" s="15"/>
      <c r="V454" s="15"/>
    </row>
    <row r="455" spans="16:22" ht="12.75">
      <c r="P455" s="15"/>
      <c r="V455" s="15"/>
    </row>
    <row r="456" spans="16:22" ht="12.75">
      <c r="P456" s="15"/>
      <c r="V456" s="15"/>
    </row>
    <row r="457" spans="16:22" ht="12.75">
      <c r="P457" s="15"/>
      <c r="V457" s="15"/>
    </row>
    <row r="458" spans="16:22" ht="12.75">
      <c r="P458" s="15"/>
      <c r="V458" s="15"/>
    </row>
    <row r="459" spans="16:22" ht="12.75">
      <c r="P459" s="15"/>
      <c r="V459" s="15"/>
    </row>
    <row r="460" spans="16:22" ht="12.75">
      <c r="P460" s="15"/>
      <c r="V460" s="15"/>
    </row>
    <row r="461" spans="16:22" ht="12.75">
      <c r="P461" s="15"/>
      <c r="V461" s="15"/>
    </row>
    <row r="462" spans="16:22" ht="12.75">
      <c r="P462" s="15"/>
      <c r="V462" s="15"/>
    </row>
    <row r="463" spans="16:22" ht="12.75">
      <c r="P463" s="15"/>
      <c r="V463" s="15"/>
    </row>
    <row r="464" spans="16:22" ht="12.75">
      <c r="P464" s="15"/>
      <c r="V464" s="15"/>
    </row>
    <row r="465" spans="16:22" ht="12.75">
      <c r="P465" s="15"/>
      <c r="V465" s="15"/>
    </row>
    <row r="466" spans="16:22" ht="12.75">
      <c r="P466" s="15"/>
      <c r="V466" s="15"/>
    </row>
    <row r="467" spans="16:22" ht="12.75">
      <c r="P467" s="15"/>
      <c r="V467" s="15"/>
    </row>
    <row r="468" spans="16:22" ht="12.75">
      <c r="P468" s="15"/>
      <c r="V468" s="15"/>
    </row>
    <row r="469" spans="16:22" ht="12.75">
      <c r="P469" s="15"/>
      <c r="V469" s="15"/>
    </row>
    <row r="470" spans="16:22" ht="12.75">
      <c r="P470" s="15"/>
      <c r="V470" s="15"/>
    </row>
    <row r="471" spans="16:22" ht="12.75">
      <c r="P471" s="15"/>
      <c r="V471" s="15"/>
    </row>
    <row r="472" spans="16:22" ht="12.75">
      <c r="P472" s="15"/>
      <c r="V472" s="15"/>
    </row>
    <row r="473" spans="16:22" ht="12.75">
      <c r="P473" s="15"/>
      <c r="V473" s="15"/>
    </row>
    <row r="474" spans="16:22" ht="12.75">
      <c r="P474" s="15"/>
      <c r="V474" s="15"/>
    </row>
    <row r="475" spans="16:22" ht="12.75">
      <c r="P475" s="15"/>
      <c r="V475" s="15"/>
    </row>
    <row r="476" spans="16:22" ht="12.75">
      <c r="P476" s="15"/>
      <c r="V476" s="15"/>
    </row>
    <row r="477" spans="16:22" ht="12.75">
      <c r="P477" s="15"/>
      <c r="V477" s="15"/>
    </row>
    <row r="478" spans="16:22" ht="12.75">
      <c r="P478" s="15"/>
      <c r="V478" s="15"/>
    </row>
    <row r="479" spans="16:22" ht="12.75">
      <c r="P479" s="15"/>
      <c r="V479" s="15"/>
    </row>
    <row r="480" spans="16:22" ht="12.75">
      <c r="P480" s="15"/>
      <c r="V480" s="15"/>
    </row>
    <row r="481" spans="16:22" ht="12.75">
      <c r="P481" s="15"/>
      <c r="V481" s="15"/>
    </row>
    <row r="482" spans="16:22" ht="12.75">
      <c r="P482" s="15"/>
      <c r="V482" s="15"/>
    </row>
    <row r="483" spans="16:22" ht="12.75">
      <c r="P483" s="15"/>
      <c r="V483" s="15"/>
    </row>
    <row r="484" spans="16:22" ht="12.75">
      <c r="P484" s="15"/>
      <c r="V484" s="15"/>
    </row>
    <row r="485" spans="16:22" ht="12.75">
      <c r="P485" s="15"/>
      <c r="V485" s="15"/>
    </row>
    <row r="486" spans="16:22" ht="12.75">
      <c r="P486" s="15"/>
      <c r="V486" s="15"/>
    </row>
    <row r="487" spans="16:22" ht="12.75">
      <c r="P487" s="15"/>
      <c r="V487" s="15"/>
    </row>
    <row r="488" spans="16:22" ht="12.75">
      <c r="P488" s="15"/>
      <c r="V488" s="15"/>
    </row>
    <row r="489" spans="16:22" ht="12.75">
      <c r="P489" s="15"/>
      <c r="V489" s="15"/>
    </row>
    <row r="490" spans="16:22" ht="12.75">
      <c r="P490" s="15"/>
      <c r="V490" s="15"/>
    </row>
    <row r="491" spans="16:22" ht="12.75">
      <c r="P491" s="15"/>
      <c r="V491" s="15"/>
    </row>
    <row r="492" spans="16:22" ht="12.75">
      <c r="P492" s="15"/>
      <c r="V492" s="15"/>
    </row>
    <row r="493" spans="16:22" ht="12.75">
      <c r="P493" s="15"/>
      <c r="V493" s="15"/>
    </row>
    <row r="494" spans="16:22" ht="12.75">
      <c r="P494" s="15"/>
      <c r="V494" s="15"/>
    </row>
    <row r="495" spans="16:22" ht="12.75">
      <c r="P495" s="15"/>
      <c r="V495" s="15"/>
    </row>
    <row r="496" spans="16:22" ht="12.75">
      <c r="P496" s="15"/>
      <c r="V496" s="15"/>
    </row>
    <row r="497" spans="16:22" ht="12.75">
      <c r="P497" s="15"/>
      <c r="V497" s="15"/>
    </row>
    <row r="498" spans="16:22" ht="12.75">
      <c r="P498" s="15"/>
      <c r="V498" s="15"/>
    </row>
    <row r="499" spans="16:22" ht="12.75">
      <c r="P499" s="15"/>
      <c r="V499" s="15"/>
    </row>
    <row r="500" spans="16:22" ht="12.75">
      <c r="P500" s="15"/>
      <c r="V500" s="15"/>
    </row>
    <row r="501" spans="16:22" ht="12.75">
      <c r="P501" s="15"/>
      <c r="V501" s="15"/>
    </row>
    <row r="502" spans="16:22" ht="12.75">
      <c r="P502" s="15"/>
      <c r="V502" s="15"/>
    </row>
    <row r="503" spans="16:22" ht="12.75">
      <c r="P503" s="15"/>
      <c r="V503" s="15"/>
    </row>
    <row r="504" spans="16:22" ht="12.75">
      <c r="P504" s="15"/>
      <c r="V504" s="15"/>
    </row>
    <row r="505" spans="16:22" ht="12.75">
      <c r="P505" s="15"/>
      <c r="V505" s="15"/>
    </row>
    <row r="506" spans="16:22" ht="12.75">
      <c r="P506" s="15"/>
      <c r="V506" s="15"/>
    </row>
    <row r="507" spans="16:22" ht="12.75">
      <c r="P507" s="15"/>
      <c r="V507" s="15"/>
    </row>
    <row r="508" spans="16:22" ht="12.75">
      <c r="P508" s="15"/>
      <c r="V508" s="15"/>
    </row>
    <row r="509" spans="16:22" ht="12.75">
      <c r="P509" s="15"/>
      <c r="V509" s="15"/>
    </row>
    <row r="510" spans="16:22" ht="12.75">
      <c r="P510" s="15"/>
      <c r="V510" s="15"/>
    </row>
    <row r="511" spans="16:22" ht="12.75">
      <c r="P511" s="15"/>
      <c r="V511" s="15"/>
    </row>
    <row r="512" spans="16:22" ht="12.75">
      <c r="P512" s="15"/>
      <c r="V512" s="15"/>
    </row>
    <row r="513" spans="16:22" ht="12.75">
      <c r="P513" s="15"/>
      <c r="V513" s="15"/>
    </row>
    <row r="514" spans="16:22" ht="12.75">
      <c r="P514" s="15"/>
      <c r="V514" s="15"/>
    </row>
    <row r="515" spans="16:22" ht="12.75">
      <c r="P515" s="15"/>
      <c r="V515" s="15"/>
    </row>
    <row r="516" spans="16:22" ht="12.75">
      <c r="P516" s="15"/>
      <c r="V516" s="15"/>
    </row>
    <row r="517" spans="16:22" ht="12.75">
      <c r="P517" s="15"/>
      <c r="V517" s="15"/>
    </row>
    <row r="518" spans="16:22" ht="12.75">
      <c r="P518" s="15"/>
      <c r="V518" s="15"/>
    </row>
    <row r="519" spans="16:22" ht="12.75">
      <c r="P519" s="15"/>
      <c r="V519" s="15"/>
    </row>
    <row r="520" spans="16:22" ht="12.75">
      <c r="P520" s="15"/>
      <c r="V520" s="15"/>
    </row>
    <row r="521" spans="16:22" ht="12.75">
      <c r="P521" s="15"/>
      <c r="V521" s="15"/>
    </row>
    <row r="522" spans="16:22" ht="12.75">
      <c r="P522" s="15"/>
      <c r="V522" s="15"/>
    </row>
    <row r="523" spans="16:22" ht="12.75">
      <c r="P523" s="15"/>
      <c r="V523" s="15"/>
    </row>
    <row r="524" spans="16:22" ht="12.75">
      <c r="P524" s="15"/>
      <c r="V524" s="15"/>
    </row>
    <row r="525" spans="16:22" ht="12.75">
      <c r="P525" s="15"/>
      <c r="V525" s="15"/>
    </row>
    <row r="526" spans="16:22" ht="12.75">
      <c r="P526" s="15"/>
      <c r="V526" s="15"/>
    </row>
    <row r="527" spans="16:22" ht="12.75">
      <c r="P527" s="15"/>
      <c r="V527" s="15"/>
    </row>
    <row r="528" spans="16:22" ht="12.75">
      <c r="P528" s="15"/>
      <c r="V528" s="15"/>
    </row>
    <row r="529" spans="16:22" ht="12.75">
      <c r="P529" s="15"/>
      <c r="V529" s="15"/>
    </row>
    <row r="530" spans="16:22" ht="12.75">
      <c r="P530" s="15"/>
      <c r="V530" s="15"/>
    </row>
    <row r="531" spans="16:22" ht="12.75">
      <c r="P531" s="15"/>
      <c r="V531" s="15"/>
    </row>
    <row r="532" spans="16:22" ht="12.75">
      <c r="P532" s="15"/>
      <c r="V532" s="15"/>
    </row>
    <row r="533" spans="16:22" ht="12.75">
      <c r="P533" s="15"/>
      <c r="V533" s="15"/>
    </row>
    <row r="534" spans="16:22" ht="12.75">
      <c r="P534" s="15"/>
      <c r="V534" s="15"/>
    </row>
    <row r="535" spans="16:22" ht="12.75">
      <c r="P535" s="15"/>
      <c r="V535" s="15"/>
    </row>
    <row r="536" spans="16:22" ht="12.75">
      <c r="P536" s="15"/>
      <c r="V536" s="15"/>
    </row>
    <row r="537" spans="16:22" ht="12.75">
      <c r="P537" s="15"/>
      <c r="V537" s="15"/>
    </row>
    <row r="538" spans="16:22" ht="12.75">
      <c r="P538" s="15"/>
      <c r="V538" s="15"/>
    </row>
    <row r="539" spans="16:22" ht="12.75">
      <c r="P539" s="15"/>
      <c r="V539" s="15"/>
    </row>
    <row r="540" spans="16:22" ht="12.75">
      <c r="P540" s="15"/>
      <c r="V540" s="15"/>
    </row>
    <row r="541" spans="16:22" ht="12.75">
      <c r="P541" s="15"/>
      <c r="V541" s="15"/>
    </row>
    <row r="542" spans="16:22" ht="12.75">
      <c r="P542" s="15"/>
      <c r="V542" s="15"/>
    </row>
    <row r="543" spans="16:22" ht="12.75">
      <c r="P543" s="15"/>
      <c r="V543" s="15"/>
    </row>
    <row r="544" spans="16:22" ht="12.75">
      <c r="P544" s="15"/>
      <c r="V544" s="15"/>
    </row>
    <row r="545" spans="16:22" ht="12.75">
      <c r="P545" s="15"/>
      <c r="V545" s="15"/>
    </row>
    <row r="546" spans="16:22" ht="12.75">
      <c r="P546" s="15"/>
      <c r="V546" s="15"/>
    </row>
    <row r="547" spans="16:22" ht="12.75">
      <c r="P547" s="15"/>
      <c r="V547" s="15"/>
    </row>
    <row r="548" spans="16:22" ht="12.75">
      <c r="P548" s="15"/>
      <c r="V548" s="15"/>
    </row>
    <row r="549" spans="16:22" ht="12.75">
      <c r="P549" s="15"/>
      <c r="V549" s="15"/>
    </row>
    <row r="550" spans="16:22" ht="12.75">
      <c r="P550" s="15"/>
      <c r="V550" s="15"/>
    </row>
    <row r="551" spans="16:22" ht="12.75">
      <c r="P551" s="15"/>
      <c r="V551" s="15"/>
    </row>
    <row r="552" spans="16:22" ht="12.75">
      <c r="P552" s="15"/>
      <c r="V552" s="15"/>
    </row>
    <row r="553" spans="16:22" ht="12.75">
      <c r="P553" s="15"/>
      <c r="V553" s="15"/>
    </row>
    <row r="554" spans="16:22" ht="12.75">
      <c r="P554" s="15"/>
      <c r="V554" s="15"/>
    </row>
    <row r="555" spans="16:22" ht="12.75">
      <c r="P555" s="15"/>
      <c r="V555" s="15"/>
    </row>
    <row r="556" spans="16:22" ht="12.75">
      <c r="P556" s="15"/>
      <c r="V556" s="15"/>
    </row>
    <row r="557" spans="16:22" ht="12.75">
      <c r="P557" s="15"/>
      <c r="V557" s="15"/>
    </row>
    <row r="558" spans="16:22" ht="12.75">
      <c r="P558" s="15"/>
      <c r="V558" s="15"/>
    </row>
    <row r="559" spans="16:22" ht="12.75">
      <c r="P559" s="15"/>
      <c r="V559" s="15"/>
    </row>
    <row r="560" spans="16:22" ht="12.75">
      <c r="P560" s="15"/>
      <c r="V560" s="15"/>
    </row>
    <row r="561" spans="16:22" ht="12.75">
      <c r="P561" s="15"/>
      <c r="V561" s="15"/>
    </row>
    <row r="562" spans="16:22" ht="12.75">
      <c r="P562" s="15"/>
      <c r="V562" s="15"/>
    </row>
    <row r="563" spans="16:22" ht="12.75">
      <c r="P563" s="15"/>
      <c r="V563" s="15"/>
    </row>
    <row r="564" spans="16:22" ht="12.75">
      <c r="P564" s="15"/>
      <c r="V564" s="15"/>
    </row>
    <row r="565" spans="16:22" ht="12.75">
      <c r="P565" s="15"/>
      <c r="V565" s="15"/>
    </row>
    <row r="566" spans="16:22" ht="12.75">
      <c r="P566" s="15"/>
      <c r="V566" s="15"/>
    </row>
    <row r="567" spans="16:22" ht="12.75">
      <c r="P567" s="15"/>
      <c r="V567" s="15"/>
    </row>
    <row r="568" spans="16:22" ht="12.75">
      <c r="P568" s="15"/>
      <c r="V568" s="15"/>
    </row>
    <row r="569" spans="16:22" ht="12.75">
      <c r="P569" s="15"/>
      <c r="V569" s="15"/>
    </row>
    <row r="570" spans="16:22" ht="12.75">
      <c r="P570" s="15"/>
      <c r="V570" s="15"/>
    </row>
    <row r="571" spans="16:22" ht="12.75">
      <c r="P571" s="15"/>
      <c r="V571" s="15"/>
    </row>
    <row r="572" spans="16:22" ht="12.75">
      <c r="P572" s="15"/>
      <c r="V572" s="15"/>
    </row>
    <row r="573" spans="16:22" ht="12.75">
      <c r="P573" s="15"/>
      <c r="V573" s="15"/>
    </row>
    <row r="574" spans="16:22" ht="12.75">
      <c r="P574" s="15"/>
      <c r="V574" s="15"/>
    </row>
    <row r="575" spans="16:22" ht="12.75">
      <c r="P575" s="15"/>
      <c r="V575" s="15"/>
    </row>
    <row r="576" spans="16:22" ht="12.75">
      <c r="P576" s="15"/>
      <c r="V576" s="15"/>
    </row>
    <row r="577" spans="16:22" ht="12.75">
      <c r="P577" s="15"/>
      <c r="V577" s="15"/>
    </row>
    <row r="578" spans="16:22" ht="12.75">
      <c r="P578" s="15"/>
      <c r="V578" s="15"/>
    </row>
    <row r="579" spans="16:22" ht="12.75">
      <c r="P579" s="15"/>
      <c r="V579" s="15"/>
    </row>
    <row r="580" spans="16:22" ht="12.75">
      <c r="P580" s="15"/>
      <c r="V580" s="15"/>
    </row>
    <row r="581" spans="16:22" ht="12.75">
      <c r="P581" s="15"/>
      <c r="V581" s="15"/>
    </row>
    <row r="582" spans="16:22" ht="12.75">
      <c r="P582" s="15"/>
      <c r="V582" s="15"/>
    </row>
    <row r="583" spans="16:22" ht="12.75">
      <c r="P583" s="15"/>
      <c r="V583" s="15"/>
    </row>
    <row r="584" spans="16:22" ht="12.75">
      <c r="P584" s="15"/>
      <c r="V584" s="15"/>
    </row>
    <row r="585" spans="16:22" ht="12.75">
      <c r="P585" s="15"/>
      <c r="V585" s="15"/>
    </row>
    <row r="586" spans="16:22" ht="12.75">
      <c r="P586" s="15"/>
      <c r="V586" s="15"/>
    </row>
    <row r="587" spans="16:22" ht="12.75">
      <c r="P587" s="15"/>
      <c r="V587" s="15"/>
    </row>
    <row r="588" spans="16:22" ht="12.75">
      <c r="P588" s="15"/>
      <c r="V588" s="15"/>
    </row>
    <row r="589" spans="16:22" ht="12.75">
      <c r="P589" s="15"/>
      <c r="V589" s="15"/>
    </row>
    <row r="590" spans="16:22" ht="12.75">
      <c r="P590" s="15"/>
      <c r="V590" s="15"/>
    </row>
    <row r="591" spans="16:22" ht="12.75">
      <c r="P591" s="15"/>
      <c r="V591" s="15"/>
    </row>
    <row r="592" spans="16:22" ht="12.75">
      <c r="P592" s="15"/>
      <c r="V592" s="15"/>
    </row>
    <row r="593" spans="16:22" ht="12.75">
      <c r="P593" s="15"/>
      <c r="V593" s="15"/>
    </row>
    <row r="594" spans="16:22" ht="12.75">
      <c r="P594" s="15"/>
      <c r="V594" s="15"/>
    </row>
    <row r="595" spans="16:22" ht="12.75">
      <c r="P595" s="15"/>
      <c r="V595" s="15"/>
    </row>
    <row r="596" spans="16:22" ht="12.75">
      <c r="P596" s="15"/>
      <c r="V596" s="15"/>
    </row>
    <row r="597" spans="16:22" ht="12.75">
      <c r="P597" s="15"/>
      <c r="V597" s="15"/>
    </row>
    <row r="598" spans="16:22" ht="12.75">
      <c r="P598" s="15"/>
      <c r="V598" s="15"/>
    </row>
    <row r="599" spans="16:22" ht="12.75">
      <c r="P599" s="15"/>
      <c r="V599" s="15"/>
    </row>
    <row r="600" spans="16:22" ht="12.75">
      <c r="P600" s="15"/>
      <c r="V600" s="15"/>
    </row>
    <row r="601" spans="16:22" ht="12.75">
      <c r="P601" s="15"/>
      <c r="V601" s="15"/>
    </row>
    <row r="602" spans="16:22" ht="12.75">
      <c r="P602" s="15"/>
      <c r="V602" s="15"/>
    </row>
    <row r="603" spans="16:22" ht="12.75">
      <c r="P603" s="15"/>
      <c r="V603" s="15"/>
    </row>
    <row r="604" spans="16:22" ht="12.75">
      <c r="P604" s="15"/>
      <c r="V604" s="15"/>
    </row>
    <row r="605" spans="16:22" ht="12.75">
      <c r="P605" s="15"/>
      <c r="V605" s="15"/>
    </row>
    <row r="606" spans="16:22" ht="12.75">
      <c r="P606" s="15"/>
      <c r="V606" s="15"/>
    </row>
    <row r="607" spans="16:22" ht="12.75">
      <c r="P607" s="15"/>
      <c r="V607" s="15"/>
    </row>
    <row r="608" spans="16:22" ht="12.75">
      <c r="P608" s="15"/>
      <c r="V608" s="15"/>
    </row>
    <row r="609" spans="16:22" ht="12.75">
      <c r="P609" s="15"/>
      <c r="V609" s="15"/>
    </row>
    <row r="610" spans="16:22" ht="12.75">
      <c r="P610" s="15"/>
      <c r="V610" s="15"/>
    </row>
    <row r="611" spans="16:22" ht="12.75">
      <c r="P611" s="15"/>
      <c r="V611" s="15"/>
    </row>
    <row r="612" spans="16:22" ht="12.75">
      <c r="P612" s="15"/>
      <c r="V612" s="15"/>
    </row>
    <row r="613" spans="16:22" ht="12.75">
      <c r="P613" s="15"/>
      <c r="V613" s="15"/>
    </row>
    <row r="614" spans="16:22" ht="12.75">
      <c r="P614" s="15"/>
      <c r="V614" s="15"/>
    </row>
    <row r="615" spans="16:22" ht="12.75">
      <c r="P615" s="15"/>
      <c r="V615" s="15"/>
    </row>
    <row r="616" spans="16:22" ht="12.75">
      <c r="P616" s="15"/>
      <c r="V616" s="15"/>
    </row>
    <row r="617" spans="16:22" ht="12.75">
      <c r="P617" s="15"/>
      <c r="V617" s="15"/>
    </row>
    <row r="618" spans="16:22" ht="12.75">
      <c r="P618" s="15"/>
      <c r="V618" s="15"/>
    </row>
    <row r="619" spans="16:22" ht="12.75">
      <c r="P619" s="15"/>
      <c r="V619" s="15"/>
    </row>
    <row r="620" spans="16:22" ht="12.75">
      <c r="P620" s="15"/>
      <c r="V620" s="15"/>
    </row>
    <row r="621" spans="16:22" ht="12.75">
      <c r="P621" s="15"/>
      <c r="V621" s="15"/>
    </row>
    <row r="622" spans="16:22" ht="12.75">
      <c r="P622" s="15"/>
      <c r="V622" s="15"/>
    </row>
    <row r="623" spans="16:22" ht="12.75">
      <c r="P623" s="15"/>
      <c r="V623" s="15"/>
    </row>
    <row r="624" spans="16:22" ht="12.75">
      <c r="P624" s="15"/>
      <c r="V624" s="15"/>
    </row>
    <row r="625" spans="16:22" ht="12.75">
      <c r="P625" s="15"/>
      <c r="V625" s="15"/>
    </row>
    <row r="626" spans="16:22" ht="12.75">
      <c r="P626" s="15"/>
      <c r="V626" s="15"/>
    </row>
    <row r="627" spans="16:22" ht="12.75">
      <c r="P627" s="15"/>
      <c r="V627" s="15"/>
    </row>
    <row r="628" spans="16:22" ht="12.75">
      <c r="P628" s="15"/>
      <c r="V628" s="15"/>
    </row>
    <row r="629" spans="16:22" ht="12.75">
      <c r="P629" s="15"/>
      <c r="V629" s="15"/>
    </row>
    <row r="630" spans="16:22" ht="12.75">
      <c r="P630" s="15"/>
      <c r="V630" s="15"/>
    </row>
    <row r="631" spans="16:22" ht="12.75">
      <c r="P631" s="15"/>
      <c r="V631" s="15"/>
    </row>
    <row r="632" spans="16:22" ht="12.75">
      <c r="P632" s="15"/>
      <c r="V632" s="15"/>
    </row>
    <row r="633" spans="16:22" ht="12.75">
      <c r="P633" s="15"/>
      <c r="V633" s="15"/>
    </row>
    <row r="634" spans="16:22" ht="12.75">
      <c r="P634" s="15"/>
      <c r="V634" s="15"/>
    </row>
    <row r="635" spans="16:22" ht="12.75">
      <c r="P635" s="15"/>
      <c r="V635" s="15"/>
    </row>
    <row r="636" spans="16:22" ht="12.75">
      <c r="P636" s="15"/>
      <c r="V636" s="15"/>
    </row>
    <row r="637" spans="16:22" ht="12.75">
      <c r="P637" s="15"/>
      <c r="V637" s="15"/>
    </row>
    <row r="638" spans="16:22" ht="12.75">
      <c r="P638" s="15"/>
      <c r="V638" s="15"/>
    </row>
    <row r="639" spans="16:22" ht="12.75">
      <c r="P639" s="15"/>
      <c r="V639" s="15"/>
    </row>
    <row r="640" spans="16:22" ht="12.75">
      <c r="P640" s="15"/>
      <c r="V640" s="15"/>
    </row>
    <row r="641" spans="16:22" ht="12.75">
      <c r="P641" s="15"/>
      <c r="V641" s="15"/>
    </row>
    <row r="642" spans="16:22" ht="12.75">
      <c r="P642" s="15"/>
      <c r="V642" s="15"/>
    </row>
    <row r="643" spans="16:22" ht="12.75">
      <c r="P643" s="15"/>
      <c r="V643" s="15"/>
    </row>
    <row r="644" spans="16:22" ht="12.75">
      <c r="P644" s="15"/>
      <c r="V644" s="15"/>
    </row>
    <row r="645" spans="16:22" ht="12.75">
      <c r="P645" s="15"/>
      <c r="V645" s="15"/>
    </row>
    <row r="646" spans="16:22" ht="12.75">
      <c r="P646" s="15"/>
      <c r="V646" s="15"/>
    </row>
    <row r="647" spans="16:22" ht="12.75">
      <c r="P647" s="15"/>
      <c r="V647" s="15"/>
    </row>
    <row r="648" spans="16:22" ht="12.75">
      <c r="P648" s="15"/>
      <c r="V648" s="15"/>
    </row>
    <row r="649" spans="16:22" ht="12.75">
      <c r="P649" s="15"/>
      <c r="V649" s="15"/>
    </row>
    <row r="650" spans="16:22" ht="12.75">
      <c r="P650" s="15"/>
      <c r="V650" s="15"/>
    </row>
    <row r="651" spans="16:22" ht="12.75">
      <c r="P651" s="15"/>
      <c r="V651" s="15"/>
    </row>
    <row r="652" spans="16:22" ht="12.75">
      <c r="P652" s="15"/>
      <c r="V652" s="15"/>
    </row>
    <row r="653" spans="16:22" ht="12.75">
      <c r="P653" s="15"/>
      <c r="V653" s="15"/>
    </row>
    <row r="654" spans="16:22" ht="12.75">
      <c r="P654" s="15"/>
      <c r="V654" s="15"/>
    </row>
    <row r="655" spans="16:22" ht="12.75">
      <c r="P655" s="15"/>
      <c r="V655" s="15"/>
    </row>
    <row r="656" spans="16:22" ht="12.75">
      <c r="P656" s="15"/>
      <c r="V656" s="15"/>
    </row>
    <row r="657" spans="16:22" ht="12.75">
      <c r="P657" s="15"/>
      <c r="V657" s="15"/>
    </row>
    <row r="658" spans="16:22" ht="12.75">
      <c r="P658" s="15"/>
      <c r="V658" s="15"/>
    </row>
    <row r="659" spans="16:22" ht="12.75">
      <c r="P659" s="15"/>
      <c r="V659" s="15"/>
    </row>
    <row r="660" spans="16:22" ht="12.75">
      <c r="P660" s="15"/>
      <c r="V660" s="15"/>
    </row>
    <row r="661" spans="16:22" ht="12.75">
      <c r="P661" s="15"/>
      <c r="V661" s="15"/>
    </row>
    <row r="662" spans="16:22" ht="12.75">
      <c r="P662" s="15"/>
      <c r="V662" s="15"/>
    </row>
    <row r="663" spans="16:22" ht="12.75">
      <c r="P663" s="15"/>
      <c r="V663" s="15"/>
    </row>
    <row r="664" spans="16:22" ht="12.75">
      <c r="P664" s="15"/>
      <c r="V664" s="15"/>
    </row>
    <row r="665" spans="16:22" ht="12.75">
      <c r="P665" s="15"/>
      <c r="V665" s="15"/>
    </row>
    <row r="666" spans="16:22" ht="12.75">
      <c r="P666" s="15"/>
      <c r="V666" s="15"/>
    </row>
    <row r="667" spans="16:22" ht="12.75">
      <c r="P667" s="15"/>
      <c r="V667" s="15"/>
    </row>
    <row r="668" spans="16:22" ht="12.75">
      <c r="P668" s="15"/>
      <c r="V668" s="15"/>
    </row>
    <row r="669" spans="16:22" ht="12.75">
      <c r="P669" s="15"/>
      <c r="V669" s="15"/>
    </row>
    <row r="670" spans="16:22" ht="12.75">
      <c r="P670" s="15"/>
      <c r="V670" s="15"/>
    </row>
    <row r="671" spans="16:22" ht="12.75">
      <c r="P671" s="15"/>
      <c r="V671" s="15"/>
    </row>
    <row r="672" spans="16:22" ht="12.75">
      <c r="P672" s="15"/>
      <c r="V672" s="15"/>
    </row>
    <row r="673" spans="16:22" ht="12.75">
      <c r="P673" s="15"/>
      <c r="V673" s="15"/>
    </row>
    <row r="674" spans="16:22" ht="12.75">
      <c r="P674" s="15"/>
      <c r="V674" s="15"/>
    </row>
    <row r="675" spans="16:22" ht="12.75">
      <c r="P675" s="15"/>
      <c r="V675" s="15"/>
    </row>
    <row r="676" spans="16:22" ht="12.75">
      <c r="P676" s="15"/>
      <c r="V676" s="15"/>
    </row>
    <row r="677" spans="16:22" ht="12.75">
      <c r="P677" s="15"/>
      <c r="V677" s="15"/>
    </row>
    <row r="678" ht="12.75">
      <c r="P678" s="15"/>
    </row>
    <row r="679" ht="12.75">
      <c r="P679" s="15"/>
    </row>
    <row r="680" ht="12.75">
      <c r="P680" s="15"/>
    </row>
    <row r="681" ht="12.75">
      <c r="P681" s="15"/>
    </row>
    <row r="682" ht="12.75">
      <c r="P682" s="15"/>
    </row>
    <row r="683" ht="12.75">
      <c r="P683" s="15"/>
    </row>
    <row r="684" ht="12.75">
      <c r="P684" s="15"/>
    </row>
    <row r="685" ht="12.75">
      <c r="P685" s="15"/>
    </row>
    <row r="686" ht="12.75">
      <c r="P686" s="15"/>
    </row>
    <row r="687" ht="12.75">
      <c r="P687" s="15"/>
    </row>
    <row r="688" ht="12.75">
      <c r="P688" s="15"/>
    </row>
    <row r="689" ht="12.75">
      <c r="P689" s="15"/>
    </row>
    <row r="690" ht="12.75">
      <c r="P690" s="15"/>
    </row>
    <row r="691" ht="12.75">
      <c r="P691" s="15"/>
    </row>
    <row r="692" ht="12.75">
      <c r="P692" s="15"/>
    </row>
    <row r="693" ht="12.75">
      <c r="P693" s="15"/>
    </row>
    <row r="694" ht="12.75">
      <c r="P694" s="15"/>
    </row>
    <row r="695" ht="12.75">
      <c r="P695" s="15"/>
    </row>
    <row r="696" ht="12.75">
      <c r="P696" s="15"/>
    </row>
    <row r="697" ht="12.75">
      <c r="P697" s="15"/>
    </row>
    <row r="698" ht="12.75">
      <c r="P698" s="15"/>
    </row>
    <row r="699" ht="12.75">
      <c r="P699" s="15"/>
    </row>
    <row r="700" ht="12.75">
      <c r="P700" s="15"/>
    </row>
    <row r="701" ht="12.75">
      <c r="P701" s="15"/>
    </row>
    <row r="702" ht="12.75">
      <c r="P702" s="15"/>
    </row>
    <row r="703" ht="12.75">
      <c r="P703" s="15"/>
    </row>
    <row r="704" ht="12.75">
      <c r="P704" s="15"/>
    </row>
    <row r="705" ht="12.75">
      <c r="P705" s="15"/>
    </row>
    <row r="706" ht="12.75">
      <c r="P706" s="15"/>
    </row>
    <row r="707" ht="12.75">
      <c r="P707" s="15"/>
    </row>
    <row r="708" ht="12.75">
      <c r="P708" s="15"/>
    </row>
    <row r="709" ht="12.75">
      <c r="P709" s="15"/>
    </row>
    <row r="710" ht="12.75">
      <c r="P710" s="15"/>
    </row>
    <row r="711" ht="12.75">
      <c r="P711" s="15"/>
    </row>
    <row r="712" ht="12.75">
      <c r="P712" s="15"/>
    </row>
    <row r="713" ht="12.75">
      <c r="P713" s="15"/>
    </row>
    <row r="714" ht="12.75">
      <c r="P714" s="15"/>
    </row>
    <row r="715" ht="12.75">
      <c r="P715" s="15"/>
    </row>
    <row r="716" ht="12.75">
      <c r="P716" s="15"/>
    </row>
    <row r="717" ht="12.75">
      <c r="P717" s="15"/>
    </row>
    <row r="718" ht="12.75">
      <c r="P718" s="15"/>
    </row>
    <row r="719" ht="12.75">
      <c r="P719" s="15"/>
    </row>
    <row r="720" ht="12.75">
      <c r="P720" s="15"/>
    </row>
    <row r="721" ht="12.75">
      <c r="P721" s="15"/>
    </row>
    <row r="722" ht="12.75">
      <c r="P722" s="15"/>
    </row>
    <row r="723" ht="12.75">
      <c r="P723" s="15"/>
    </row>
    <row r="724" ht="12.75">
      <c r="P724" s="15"/>
    </row>
    <row r="725" ht="12.75">
      <c r="P725" s="15"/>
    </row>
    <row r="726" ht="12.75">
      <c r="P726" s="15"/>
    </row>
    <row r="727" ht="12.75">
      <c r="P727" s="15"/>
    </row>
    <row r="728" ht="12.75">
      <c r="P728" s="15"/>
    </row>
    <row r="729" ht="12.75">
      <c r="P729" s="15"/>
    </row>
    <row r="730" ht="12.75">
      <c r="P730" s="15"/>
    </row>
    <row r="731" ht="12.75">
      <c r="P731" s="15"/>
    </row>
    <row r="732" ht="12.75">
      <c r="P732" s="15"/>
    </row>
    <row r="733" ht="12.75">
      <c r="P733" s="15"/>
    </row>
    <row r="734" ht="12.75">
      <c r="P734" s="15"/>
    </row>
    <row r="735" ht="12.75">
      <c r="P735" s="15"/>
    </row>
    <row r="736" ht="12.75">
      <c r="P736" s="15"/>
    </row>
    <row r="737" ht="12.75">
      <c r="P737" s="15"/>
    </row>
    <row r="738" ht="12.75">
      <c r="P738" s="15"/>
    </row>
    <row r="739" ht="12.75">
      <c r="P739" s="15"/>
    </row>
    <row r="740" ht="12.75">
      <c r="P740" s="15"/>
    </row>
    <row r="741" ht="12.75">
      <c r="P741" s="15"/>
    </row>
    <row r="742" ht="12.75">
      <c r="P742" s="15"/>
    </row>
    <row r="743" ht="12.75">
      <c r="P743" s="15"/>
    </row>
    <row r="744" ht="12.75">
      <c r="P744" s="15"/>
    </row>
    <row r="745" ht="12.75">
      <c r="P745" s="15"/>
    </row>
    <row r="746" ht="12.75">
      <c r="P746" s="15"/>
    </row>
    <row r="747" ht="12.75">
      <c r="P747" s="15"/>
    </row>
    <row r="748" ht="12.75">
      <c r="P748" s="15"/>
    </row>
    <row r="749" ht="12.75">
      <c r="P749" s="15"/>
    </row>
    <row r="750" ht="12.75">
      <c r="P750" s="15"/>
    </row>
    <row r="751" ht="12.75">
      <c r="P751" s="15"/>
    </row>
    <row r="752" ht="12.75">
      <c r="P752" s="15"/>
    </row>
    <row r="753" ht="12.75">
      <c r="P753" s="15"/>
    </row>
    <row r="754" ht="12.75">
      <c r="P754" s="15"/>
    </row>
    <row r="755" ht="12.75">
      <c r="P755" s="15"/>
    </row>
    <row r="756" ht="12.75">
      <c r="P756" s="15"/>
    </row>
    <row r="757" ht="12.75">
      <c r="P757" s="15"/>
    </row>
    <row r="758" ht="12.75">
      <c r="P758" s="15"/>
    </row>
    <row r="759" ht="12.75">
      <c r="P759" s="15"/>
    </row>
    <row r="760" ht="12.75">
      <c r="P760" s="15"/>
    </row>
    <row r="761" ht="12.75">
      <c r="P761" s="15"/>
    </row>
    <row r="762" ht="12.75">
      <c r="P762" s="15"/>
    </row>
    <row r="763" ht="12.75">
      <c r="P763" s="15"/>
    </row>
    <row r="764" ht="12.75">
      <c r="P764" s="15"/>
    </row>
    <row r="765" ht="12.75">
      <c r="P765" s="15"/>
    </row>
    <row r="766" ht="12.75">
      <c r="P766" s="15"/>
    </row>
    <row r="767" ht="12.75">
      <c r="P767" s="15"/>
    </row>
    <row r="768" ht="12.75">
      <c r="P768" s="15"/>
    </row>
    <row r="769" ht="12.75">
      <c r="P769" s="15"/>
    </row>
    <row r="770" ht="12.75">
      <c r="P770" s="15"/>
    </row>
    <row r="771" ht="12.75">
      <c r="P771" s="15"/>
    </row>
    <row r="772" ht="12.75">
      <c r="P772" s="15"/>
    </row>
    <row r="773" ht="12.75">
      <c r="P773" s="15"/>
    </row>
    <row r="774" ht="12.75">
      <c r="P774" s="15"/>
    </row>
    <row r="775" ht="12.75">
      <c r="P775" s="15"/>
    </row>
    <row r="776" ht="12.75">
      <c r="P776" s="15"/>
    </row>
    <row r="777" ht="12.75">
      <c r="P777" s="15"/>
    </row>
    <row r="778" ht="12.75">
      <c r="P778" s="15"/>
    </row>
    <row r="779" ht="12.75">
      <c r="P779" s="15"/>
    </row>
    <row r="780" ht="12.75">
      <c r="P780" s="15"/>
    </row>
    <row r="781" ht="12.75">
      <c r="P781" s="15"/>
    </row>
    <row r="782" ht="12.75">
      <c r="P782" s="15"/>
    </row>
    <row r="783" ht="12.75">
      <c r="P783" s="15"/>
    </row>
    <row r="784" ht="12.75">
      <c r="P784" s="15"/>
    </row>
    <row r="785" ht="12.75">
      <c r="P785" s="15"/>
    </row>
    <row r="786" ht="12.75">
      <c r="P786" s="15"/>
    </row>
    <row r="787" ht="12.75">
      <c r="P787" s="15"/>
    </row>
    <row r="788" ht="12.75">
      <c r="P788" s="15"/>
    </row>
    <row r="789" ht="12.75">
      <c r="P789" s="15"/>
    </row>
    <row r="790" ht="12.75">
      <c r="P790" s="15"/>
    </row>
    <row r="791" ht="12.75">
      <c r="P791" s="15"/>
    </row>
    <row r="792" ht="12.75">
      <c r="P792" s="15"/>
    </row>
    <row r="793" ht="12.75">
      <c r="P793" s="15"/>
    </row>
    <row r="794" ht="12.75">
      <c r="P794" s="15"/>
    </row>
    <row r="795" ht="12.75">
      <c r="P795" s="15"/>
    </row>
    <row r="796" ht="12.75">
      <c r="P796" s="15"/>
    </row>
    <row r="797" ht="12.75">
      <c r="P797" s="15"/>
    </row>
    <row r="798" ht="12.75">
      <c r="P798" s="15"/>
    </row>
    <row r="799" ht="12.75">
      <c r="P799" s="15"/>
    </row>
    <row r="800" ht="12.75">
      <c r="P800" s="15"/>
    </row>
    <row r="801" ht="12.75">
      <c r="P801" s="15"/>
    </row>
    <row r="802" ht="12.75">
      <c r="P802" s="15"/>
    </row>
    <row r="803" ht="12.75">
      <c r="P803" s="15"/>
    </row>
    <row r="804" ht="12.75">
      <c r="P804" s="15"/>
    </row>
    <row r="805" ht="12.75">
      <c r="P805" s="15"/>
    </row>
    <row r="806" ht="12.75">
      <c r="P806" s="15"/>
    </row>
    <row r="807" ht="12.75">
      <c r="P807" s="15"/>
    </row>
    <row r="808" ht="12.75">
      <c r="P808" s="15"/>
    </row>
    <row r="809" ht="12.75">
      <c r="P809" s="15"/>
    </row>
    <row r="810" ht="12.75">
      <c r="P810" s="15"/>
    </row>
    <row r="811" ht="12.75">
      <c r="P811" s="15"/>
    </row>
    <row r="812" ht="12.75">
      <c r="P812" s="15"/>
    </row>
    <row r="813" ht="12.75">
      <c r="P813" s="15"/>
    </row>
    <row r="814" ht="12.75">
      <c r="P814" s="15"/>
    </row>
    <row r="815" ht="12.75">
      <c r="P815" s="15"/>
    </row>
    <row r="816" ht="12.75">
      <c r="P816" s="15"/>
    </row>
    <row r="817" ht="12.75">
      <c r="P817" s="15"/>
    </row>
    <row r="818" ht="12.75">
      <c r="P818" s="15"/>
    </row>
    <row r="819" ht="12.75">
      <c r="P819" s="15"/>
    </row>
    <row r="820" ht="12.75">
      <c r="P820" s="15"/>
    </row>
    <row r="821" ht="12.75">
      <c r="P821" s="15"/>
    </row>
    <row r="822" ht="12.75">
      <c r="P822" s="15"/>
    </row>
    <row r="823" ht="12.75">
      <c r="P823" s="15"/>
    </row>
    <row r="824" ht="12.75">
      <c r="P824" s="15"/>
    </row>
    <row r="825" ht="12.75">
      <c r="P825" s="15"/>
    </row>
    <row r="826" ht="12.75">
      <c r="P826" s="15"/>
    </row>
    <row r="827" ht="12.75">
      <c r="P827" s="15"/>
    </row>
    <row r="828" ht="12.75">
      <c r="P828" s="15"/>
    </row>
    <row r="829" ht="12.75">
      <c r="P829" s="15"/>
    </row>
    <row r="830" ht="12.75">
      <c r="P830" s="15"/>
    </row>
    <row r="831" ht="12.75">
      <c r="P831" s="15"/>
    </row>
    <row r="832" ht="12.75">
      <c r="P832" s="15"/>
    </row>
    <row r="833" ht="12.75">
      <c r="P833" s="15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2203"/>
  <sheetViews>
    <sheetView zoomScaleSheetLayoutView="2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34" sqref="J34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7" width="7.8515625" style="28" customWidth="1"/>
    <col min="8" max="8" width="11.28125" style="5" customWidth="1"/>
    <col min="9" max="9" width="12.28125" style="7" customWidth="1"/>
    <col min="10" max="10" width="9.00390625" style="7" customWidth="1"/>
    <col min="11" max="13" width="8.421875" style="6" customWidth="1"/>
    <col min="14" max="14" width="13.00390625" style="4" customWidth="1"/>
    <col min="15" max="15" width="13.8515625" style="4" customWidth="1"/>
    <col min="16" max="16" width="10.57421875" style="17" customWidth="1"/>
    <col min="17" max="17" width="10.57421875" style="4" customWidth="1"/>
    <col min="18" max="18" width="11.28125" style="23" customWidth="1"/>
    <col min="19" max="20" width="10.57421875" style="31" customWidth="1"/>
    <col min="21" max="23" width="10.57421875" style="13" customWidth="1"/>
    <col min="24" max="25" width="10.7109375" style="23" customWidth="1"/>
    <col min="26" max="26" width="10.57421875" style="4" customWidth="1"/>
    <col min="27" max="27" width="10.57421875" style="21" customWidth="1"/>
    <col min="28" max="28" width="24.421875" style="0" customWidth="1"/>
    <col min="29" max="29" width="86.00390625" style="2" customWidth="1"/>
  </cols>
  <sheetData>
    <row r="1" spans="1:55" s="3" customFormat="1" ht="54.75" customHeight="1">
      <c r="A1" s="181" t="s">
        <v>284</v>
      </c>
      <c r="B1"/>
      <c r="C1" t="s">
        <v>286</v>
      </c>
      <c r="D1" t="s">
        <v>285</v>
      </c>
      <c r="E1" t="s">
        <v>285</v>
      </c>
      <c r="F1"/>
      <c r="G1"/>
      <c r="H1" t="s">
        <v>285</v>
      </c>
      <c r="I1" t="s">
        <v>285</v>
      </c>
      <c r="J1"/>
      <c r="K1"/>
      <c r="L1"/>
      <c r="M1"/>
      <c r="N1" t="s">
        <v>290</v>
      </c>
      <c r="O1" t="s">
        <v>369</v>
      </c>
      <c r="P1" s="15"/>
      <c r="Q1" s="15"/>
      <c r="R1"/>
      <c r="S1"/>
      <c r="T1"/>
      <c r="U1"/>
      <c r="V1"/>
      <c r="W1"/>
      <c r="X1"/>
      <c r="Y1"/>
      <c r="Z1"/>
      <c r="AA1"/>
      <c r="AB1"/>
      <c r="AC1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</row>
    <row r="2" spans="1:55" ht="12.75">
      <c r="A2"/>
      <c r="B2"/>
      <c r="C2"/>
      <c r="D2" s="181" t="s">
        <v>127</v>
      </c>
      <c r="E2" s="143" t="s">
        <v>135</v>
      </c>
      <c r="F2" s="181" t="s">
        <v>127</v>
      </c>
      <c r="G2" s="143" t="s">
        <v>135</v>
      </c>
      <c r="H2" s="181" t="s">
        <v>127</v>
      </c>
      <c r="I2" s="143" t="s">
        <v>135</v>
      </c>
      <c r="J2" s="181" t="s">
        <v>127</v>
      </c>
      <c r="K2" s="143" t="s">
        <v>135</v>
      </c>
      <c r="L2" s="143"/>
      <c r="M2" s="143"/>
      <c r="N2" t="s">
        <v>367</v>
      </c>
      <c r="O2"/>
      <c r="P2" s="15"/>
      <c r="Q2" s="15"/>
      <c r="R2"/>
      <c r="S2"/>
      <c r="T2"/>
      <c r="U2"/>
      <c r="V2"/>
      <c r="W2"/>
      <c r="X2"/>
      <c r="Y2"/>
      <c r="Z2"/>
      <c r="AA2"/>
      <c r="AC2"/>
      <c r="AD2" s="18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175" ht="12.75">
      <c r="A3"/>
      <c r="B3"/>
      <c r="C3"/>
      <c r="D3"/>
      <c r="E3"/>
      <c r="F3"/>
      <c r="G3"/>
      <c r="H3" t="s">
        <v>292</v>
      </c>
      <c r="I3"/>
      <c r="J3"/>
      <c r="K3"/>
      <c r="L3"/>
      <c r="M3"/>
      <c r="N3"/>
      <c r="O3"/>
      <c r="P3" s="15"/>
      <c r="Q3" s="15"/>
      <c r="R3"/>
      <c r="S3"/>
      <c r="T3"/>
      <c r="U3"/>
      <c r="V3"/>
      <c r="W3"/>
      <c r="X3"/>
      <c r="Y3"/>
      <c r="Z3"/>
      <c r="AA3"/>
      <c r="AC3"/>
      <c r="AD3" s="18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</row>
    <row r="4" spans="1:175" ht="12.75">
      <c r="A4" t="s">
        <v>133</v>
      </c>
      <c r="B4"/>
      <c r="C4"/>
      <c r="D4" s="82"/>
      <c r="E4" s="82"/>
      <c r="F4" s="9"/>
      <c r="G4" s="9"/>
      <c r="H4"/>
      <c r="I4"/>
      <c r="J4"/>
      <c r="K4"/>
      <c r="L4"/>
      <c r="M4"/>
      <c r="N4"/>
      <c r="O4"/>
      <c r="P4" s="15"/>
      <c r="Q4" s="15"/>
      <c r="R4"/>
      <c r="S4"/>
      <c r="T4"/>
      <c r="U4"/>
      <c r="V4"/>
      <c r="W4"/>
      <c r="X4"/>
      <c r="Y4"/>
      <c r="Z4"/>
      <c r="AA4"/>
      <c r="AC4"/>
      <c r="AD4" s="18"/>
      <c r="AE4" s="16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</row>
    <row r="5" spans="1:175" s="10" customFormat="1" ht="12.75">
      <c r="A5" s="183" t="s">
        <v>366</v>
      </c>
      <c r="B5"/>
      <c r="C5"/>
      <c r="D5" s="82"/>
      <c r="E5" s="82"/>
      <c r="F5" s="9"/>
      <c r="G5" s="9"/>
      <c r="H5"/>
      <c r="I5"/>
      <c r="J5"/>
      <c r="K5"/>
      <c r="L5"/>
      <c r="M5"/>
      <c r="N5"/>
      <c r="O5"/>
      <c r="P5" s="15"/>
      <c r="Q5" s="15"/>
      <c r="R5"/>
      <c r="S5"/>
      <c r="T5"/>
      <c r="U5"/>
      <c r="V5"/>
      <c r="W5"/>
      <c r="X5"/>
      <c r="Y5"/>
      <c r="Z5"/>
      <c r="AA5"/>
      <c r="AB5"/>
      <c r="AC5"/>
      <c r="AD5" s="18"/>
      <c r="AE5" s="16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</row>
    <row r="6" spans="1:175" ht="12.75">
      <c r="A6" t="s">
        <v>291</v>
      </c>
      <c r="B6"/>
      <c r="C6"/>
      <c r="D6" s="82"/>
      <c r="E6" s="82"/>
      <c r="F6" s="9"/>
      <c r="G6" s="9"/>
      <c r="H6"/>
      <c r="I6"/>
      <c r="J6"/>
      <c r="K6"/>
      <c r="L6"/>
      <c r="M6"/>
      <c r="N6"/>
      <c r="O6"/>
      <c r="P6" s="15"/>
      <c r="Q6" s="15"/>
      <c r="R6"/>
      <c r="S6"/>
      <c r="T6"/>
      <c r="U6"/>
      <c r="V6"/>
      <c r="W6"/>
      <c r="X6"/>
      <c r="Y6"/>
      <c r="Z6"/>
      <c r="AA6"/>
      <c r="AC6"/>
      <c r="AD6" s="18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</row>
    <row r="7" spans="1:175" ht="12.75">
      <c r="A7" s="225" t="s">
        <v>365</v>
      </c>
      <c r="B7"/>
      <c r="C7"/>
      <c r="D7" s="82"/>
      <c r="E7" s="82"/>
      <c r="F7" s="9"/>
      <c r="G7" s="9"/>
      <c r="H7"/>
      <c r="I7"/>
      <c r="J7"/>
      <c r="K7"/>
      <c r="L7"/>
      <c r="M7"/>
      <c r="N7"/>
      <c r="O7"/>
      <c r="P7" s="15"/>
      <c r="Q7" s="15"/>
      <c r="R7"/>
      <c r="S7"/>
      <c r="T7"/>
      <c r="U7"/>
      <c r="V7"/>
      <c r="W7"/>
      <c r="X7"/>
      <c r="Y7"/>
      <c r="Z7"/>
      <c r="AA7"/>
      <c r="AC7"/>
      <c r="AD7" s="18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</row>
    <row r="8" spans="1:175" ht="12.75">
      <c r="A8" s="226" t="s">
        <v>24</v>
      </c>
      <c r="B8"/>
      <c r="C8"/>
      <c r="D8" s="82"/>
      <c r="E8" s="82"/>
      <c r="F8" s="9"/>
      <c r="G8" s="9"/>
      <c r="H8"/>
      <c r="I8"/>
      <c r="J8"/>
      <c r="K8"/>
      <c r="L8"/>
      <c r="M8"/>
      <c r="N8"/>
      <c r="O8"/>
      <c r="P8" s="15"/>
      <c r="Q8" s="15"/>
      <c r="R8"/>
      <c r="S8"/>
      <c r="T8"/>
      <c r="U8"/>
      <c r="V8"/>
      <c r="W8"/>
      <c r="X8"/>
      <c r="Y8"/>
      <c r="Z8"/>
      <c r="AA8"/>
      <c r="AC8"/>
      <c r="AD8" s="18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</row>
    <row r="9" spans="1:30" s="15" customFormat="1" ht="12.75">
      <c r="A9" s="144" t="s">
        <v>289</v>
      </c>
      <c r="B9"/>
      <c r="C9"/>
      <c r="D9" s="82"/>
      <c r="E9" s="82"/>
      <c r="F9" s="9"/>
      <c r="G9" s="9"/>
      <c r="H9"/>
      <c r="I9"/>
      <c r="J9"/>
      <c r="K9"/>
      <c r="L9"/>
      <c r="M9"/>
      <c r="N9"/>
      <c r="O9"/>
      <c r="R9"/>
      <c r="S9"/>
      <c r="T9"/>
      <c r="U9"/>
      <c r="V9"/>
      <c r="W9"/>
      <c r="X9"/>
      <c r="Y9"/>
      <c r="Z9"/>
      <c r="AA9"/>
      <c r="AB9"/>
      <c r="AC9"/>
      <c r="AD9" s="18"/>
    </row>
    <row r="10" spans="1:175" ht="12.75">
      <c r="A10" s="227" t="s">
        <v>370</v>
      </c>
      <c r="B10" t="s">
        <v>283</v>
      </c>
      <c r="C10"/>
      <c r="D10" s="82"/>
      <c r="E10" s="82"/>
      <c r="F10" s="9"/>
      <c r="G10" s="9"/>
      <c r="H10"/>
      <c r="I10"/>
      <c r="J10"/>
      <c r="K10"/>
      <c r="L10"/>
      <c r="M10"/>
      <c r="N10"/>
      <c r="O10"/>
      <c r="P10" s="15"/>
      <c r="Q10" s="15"/>
      <c r="R10"/>
      <c r="S10"/>
      <c r="T10"/>
      <c r="U10"/>
      <c r="V10"/>
      <c r="W10"/>
      <c r="X10"/>
      <c r="Y10"/>
      <c r="Z10"/>
      <c r="AA10"/>
      <c r="AC10"/>
      <c r="AD10" s="18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</row>
    <row r="11" spans="1:175" ht="12.75">
      <c r="A11"/>
      <c r="B11"/>
      <c r="C11">
        <v>12.12</v>
      </c>
      <c r="D11" s="183">
        <v>200</v>
      </c>
      <c r="E11" s="183">
        <v>100</v>
      </c>
      <c r="F11" s="183">
        <v>200</v>
      </c>
      <c r="G11" s="183">
        <v>100</v>
      </c>
      <c r="H11" s="183">
        <v>200</v>
      </c>
      <c r="I11" s="183">
        <v>100</v>
      </c>
      <c r="J11"/>
      <c r="K11"/>
      <c r="L11"/>
      <c r="M11"/>
      <c r="N11"/>
      <c r="O11"/>
      <c r="P11" s="15"/>
      <c r="Q11" s="15"/>
      <c r="R11"/>
      <c r="S11"/>
      <c r="T11"/>
      <c r="U11"/>
      <c r="V11"/>
      <c r="W11"/>
      <c r="X11"/>
      <c r="Y11"/>
      <c r="Z11"/>
      <c r="AA11"/>
      <c r="AC11"/>
      <c r="AD11" s="18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</row>
    <row r="12" spans="1:175" ht="12.75">
      <c r="A12"/>
      <c r="B12"/>
      <c r="C12">
        <v>20.01</v>
      </c>
      <c r="D12" s="183">
        <v>2000</v>
      </c>
      <c r="E12" s="183">
        <v>0</v>
      </c>
      <c r="F12" s="183">
        <v>2000</v>
      </c>
      <c r="G12" s="183">
        <v>0</v>
      </c>
      <c r="H12" s="183">
        <v>2000</v>
      </c>
      <c r="I12" s="183">
        <v>0</v>
      </c>
      <c r="J12" s="144">
        <v>1750</v>
      </c>
      <c r="K12" s="144">
        <v>950</v>
      </c>
      <c r="L12" s="227"/>
      <c r="M12" s="227"/>
      <c r="O12"/>
      <c r="P12" s="15"/>
      <c r="Q12" s="15"/>
      <c r="R12"/>
      <c r="S12"/>
      <c r="T12"/>
      <c r="U12"/>
      <c r="V12"/>
      <c r="W12"/>
      <c r="X12"/>
      <c r="Y12"/>
      <c r="Z12"/>
      <c r="AA12"/>
      <c r="AC12"/>
      <c r="AD12" s="18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</row>
    <row r="13" spans="1:175" ht="12.75">
      <c r="A13"/>
      <c r="B13">
        <v>11</v>
      </c>
      <c r="C13" s="15">
        <v>13.03</v>
      </c>
      <c r="D13" s="15">
        <v>278</v>
      </c>
      <c r="E13" s="15">
        <v>825</v>
      </c>
      <c r="F13" s="142">
        <v>278</v>
      </c>
      <c r="G13" s="142">
        <v>825</v>
      </c>
      <c r="H13" s="226">
        <v>278</v>
      </c>
      <c r="I13" s="226">
        <v>825</v>
      </c>
      <c r="J13" s="144">
        <v>278</v>
      </c>
      <c r="K13" s="144">
        <v>575</v>
      </c>
      <c r="L13" s="227">
        <v>230</v>
      </c>
      <c r="M13" s="227">
        <v>252</v>
      </c>
      <c r="O13" s="228">
        <v>17.03</v>
      </c>
      <c r="P13" s="227" t="s">
        <v>373</v>
      </c>
      <c r="Q13" s="15"/>
      <c r="R13"/>
      <c r="S13"/>
      <c r="T13"/>
      <c r="U13"/>
      <c r="V13"/>
      <c r="W13"/>
      <c r="X13"/>
      <c r="Y13"/>
      <c r="Z13"/>
      <c r="AA13"/>
      <c r="AC13"/>
      <c r="AD13" s="18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</row>
    <row r="14" spans="1:175" ht="12.75">
      <c r="A14"/>
      <c r="B14">
        <v>12</v>
      </c>
      <c r="C14">
        <v>24.03</v>
      </c>
      <c r="D14">
        <v>3279</v>
      </c>
      <c r="E14">
        <v>676</v>
      </c>
      <c r="F14" s="142">
        <v>3279</v>
      </c>
      <c r="G14" s="142">
        <v>676</v>
      </c>
      <c r="H14" s="226">
        <v>2995</v>
      </c>
      <c r="I14" s="226">
        <v>676</v>
      </c>
      <c r="J14" s="144">
        <v>3029</v>
      </c>
      <c r="K14" s="144">
        <v>676</v>
      </c>
      <c r="L14" s="227"/>
      <c r="M14" s="227"/>
      <c r="N14" s="4">
        <v>30.03</v>
      </c>
      <c r="P14" s="15"/>
      <c r="Q14" s="15"/>
      <c r="R14"/>
      <c r="S14"/>
      <c r="T14"/>
      <c r="U14"/>
      <c r="V14"/>
      <c r="W14"/>
      <c r="X14"/>
      <c r="Y14"/>
      <c r="Z14"/>
      <c r="AA14"/>
      <c r="AC14"/>
      <c r="AD14" s="18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</row>
    <row r="15" spans="1:175" ht="12.75">
      <c r="A15"/>
      <c r="B15">
        <v>13</v>
      </c>
      <c r="C15" s="142">
        <v>31.03</v>
      </c>
      <c r="D15" s="142">
        <v>0</v>
      </c>
      <c r="E15" s="142">
        <v>0</v>
      </c>
      <c r="F15" s="142">
        <v>2995</v>
      </c>
      <c r="G15" s="142">
        <v>1018</v>
      </c>
      <c r="H15" s="142">
        <v>0</v>
      </c>
      <c r="I15" s="142">
        <v>0</v>
      </c>
      <c r="J15" s="144"/>
      <c r="K15" s="144"/>
      <c r="L15" s="227">
        <v>3557</v>
      </c>
      <c r="M15" s="227">
        <v>1501</v>
      </c>
      <c r="O15" s="228">
        <v>7.04</v>
      </c>
      <c r="P15" s="227" t="s">
        <v>371</v>
      </c>
      <c r="Q15" s="15"/>
      <c r="R15"/>
      <c r="S15"/>
      <c r="T15"/>
      <c r="U15"/>
      <c r="V15"/>
      <c r="W15"/>
      <c r="X15"/>
      <c r="Y15"/>
      <c r="Z15"/>
      <c r="AA15"/>
      <c r="AC15"/>
      <c r="AD15" s="18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</row>
    <row r="16" spans="1:175" ht="12.75">
      <c r="A16"/>
      <c r="B16">
        <v>15</v>
      </c>
      <c r="C16">
        <v>11.04</v>
      </c>
      <c r="D16">
        <v>2000</v>
      </c>
      <c r="E16">
        <v>1144</v>
      </c>
      <c r="F16" s="142">
        <v>2000</v>
      </c>
      <c r="G16" s="142">
        <v>1144</v>
      </c>
      <c r="H16" s="226">
        <v>2000</v>
      </c>
      <c r="I16" s="226">
        <v>1144</v>
      </c>
      <c r="J16" s="144"/>
      <c r="K16" s="144"/>
      <c r="L16" s="227"/>
      <c r="M16" s="227"/>
      <c r="N16" s="4">
        <v>19.04</v>
      </c>
      <c r="P16" s="15"/>
      <c r="Q16" s="15"/>
      <c r="R16"/>
      <c r="S16"/>
      <c r="T16"/>
      <c r="U16"/>
      <c r="V16"/>
      <c r="W16"/>
      <c r="X16"/>
      <c r="Y16"/>
      <c r="Z16"/>
      <c r="AA16"/>
      <c r="AC16"/>
      <c r="AD16" s="18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</row>
    <row r="17" spans="1:175" ht="12.75">
      <c r="A17"/>
      <c r="B17">
        <v>16</v>
      </c>
      <c r="C17">
        <v>18.04</v>
      </c>
      <c r="D17">
        <v>3000</v>
      </c>
      <c r="E17">
        <v>558</v>
      </c>
      <c r="F17" s="142">
        <v>3000</v>
      </c>
      <c r="G17" s="142">
        <v>558</v>
      </c>
      <c r="H17" s="226">
        <v>3250</v>
      </c>
      <c r="I17" s="226">
        <v>558</v>
      </c>
      <c r="J17" s="144"/>
      <c r="K17" s="144"/>
      <c r="L17" s="227"/>
      <c r="M17" s="227"/>
      <c r="P17" s="15"/>
      <c r="Q17" s="15"/>
      <c r="R17"/>
      <c r="S17"/>
      <c r="T17"/>
      <c r="U17"/>
      <c r="V17"/>
      <c r="W17"/>
      <c r="X17"/>
      <c r="Y17"/>
      <c r="Z17"/>
      <c r="AA17"/>
      <c r="AC17"/>
      <c r="AD17" s="18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</row>
    <row r="18" spans="1:30" s="15" customFormat="1" ht="12.75">
      <c r="A18"/>
      <c r="B18">
        <v>17</v>
      </c>
      <c r="C18">
        <v>28.04</v>
      </c>
      <c r="D18">
        <v>1439</v>
      </c>
      <c r="E18">
        <v>2270</v>
      </c>
      <c r="F18" s="142">
        <v>1439</v>
      </c>
      <c r="G18" s="142">
        <v>2270</v>
      </c>
      <c r="H18" s="226">
        <v>1439</v>
      </c>
      <c r="I18" s="226">
        <v>2520</v>
      </c>
      <c r="J18" s="144">
        <v>9440</v>
      </c>
      <c r="K18" s="144">
        <v>4704</v>
      </c>
      <c r="L18" s="227">
        <v>8245</v>
      </c>
      <c r="M18" s="227">
        <v>2720</v>
      </c>
      <c r="N18" s="4">
        <v>5.05</v>
      </c>
      <c r="O18" s="228">
        <v>29.05</v>
      </c>
      <c r="P18" s="227" t="s">
        <v>372</v>
      </c>
      <c r="R18"/>
      <c r="S18"/>
      <c r="T18"/>
      <c r="U18"/>
      <c r="V18"/>
      <c r="W18"/>
      <c r="X18"/>
      <c r="Y18"/>
      <c r="Z18"/>
      <c r="AA18"/>
      <c r="AB18"/>
      <c r="AC18"/>
      <c r="AD18" s="18"/>
    </row>
    <row r="19" spans="1:175" ht="12.75">
      <c r="A19"/>
      <c r="B19">
        <v>23</v>
      </c>
      <c r="C19" s="182" t="s">
        <v>368</v>
      </c>
      <c r="D19" s="15">
        <f aca="true" t="shared" si="0" ref="D19:M19">SUM(D11:D18)</f>
        <v>12196</v>
      </c>
      <c r="E19" s="15">
        <f t="shared" si="0"/>
        <v>5573</v>
      </c>
      <c r="F19" s="15">
        <f t="shared" si="0"/>
        <v>15191</v>
      </c>
      <c r="G19" s="15">
        <f t="shared" si="0"/>
        <v>6591</v>
      </c>
      <c r="H19" s="15">
        <f t="shared" si="0"/>
        <v>12162</v>
      </c>
      <c r="I19" s="15">
        <f t="shared" si="0"/>
        <v>5823</v>
      </c>
      <c r="J19" s="15">
        <f t="shared" si="0"/>
        <v>14497</v>
      </c>
      <c r="K19" s="15">
        <f t="shared" si="0"/>
        <v>6905</v>
      </c>
      <c r="L19" s="15">
        <f t="shared" si="0"/>
        <v>12032</v>
      </c>
      <c r="M19" s="15">
        <f t="shared" si="0"/>
        <v>4473</v>
      </c>
      <c r="N19"/>
      <c r="O19"/>
      <c r="P19" s="15"/>
      <c r="Q19" s="15"/>
      <c r="R19"/>
      <c r="S19"/>
      <c r="T19"/>
      <c r="U19"/>
      <c r="V19"/>
      <c r="W19"/>
      <c r="X19"/>
      <c r="Y19"/>
      <c r="Z19"/>
      <c r="AA19"/>
      <c r="AC19"/>
      <c r="AD19" s="18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</row>
    <row r="20" spans="1:175" ht="12.75">
      <c r="A20"/>
      <c r="B20"/>
      <c r="C20"/>
      <c r="D20"/>
      <c r="E20"/>
      <c r="F20"/>
      <c r="G20"/>
      <c r="H20"/>
      <c r="I20"/>
      <c r="J20" s="15"/>
      <c r="K20" s="15"/>
      <c r="L20"/>
      <c r="M20"/>
      <c r="N20"/>
      <c r="O20"/>
      <c r="P20" s="15"/>
      <c r="Q20" s="15"/>
      <c r="R20"/>
      <c r="S20"/>
      <c r="T20"/>
      <c r="U20"/>
      <c r="V20"/>
      <c r="W20"/>
      <c r="X20"/>
      <c r="Y20"/>
      <c r="Z20"/>
      <c r="AA20"/>
      <c r="AC20"/>
      <c r="AD20" s="18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</row>
    <row r="21" spans="1:175" ht="12.75">
      <c r="A21"/>
      <c r="B2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/>
      <c r="S21"/>
      <c r="T21"/>
      <c r="U21"/>
      <c r="V21"/>
      <c r="W21"/>
      <c r="X21"/>
      <c r="Y21"/>
      <c r="Z21"/>
      <c r="AA21"/>
      <c r="AC21"/>
      <c r="AD21" s="18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</row>
    <row r="22" spans="1:175" s="10" customFormat="1" ht="12.75">
      <c r="A22"/>
      <c r="B2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/>
      <c r="S22"/>
      <c r="T22"/>
      <c r="U22"/>
      <c r="V22"/>
      <c r="W22"/>
      <c r="X22"/>
      <c r="Y22"/>
      <c r="Z22"/>
      <c r="AA22"/>
      <c r="AB22"/>
      <c r="AC22"/>
      <c r="AD22" s="18"/>
      <c r="AE22" s="16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</row>
    <row r="23" spans="1:30" s="15" customFormat="1" ht="12.75">
      <c r="A23"/>
      <c r="B23"/>
      <c r="K23" s="82"/>
      <c r="L23" s="82"/>
      <c r="M23" s="82"/>
      <c r="N23" s="82"/>
      <c r="O23" s="9"/>
      <c r="R23"/>
      <c r="S23"/>
      <c r="T23"/>
      <c r="U23"/>
      <c r="V23"/>
      <c r="W23"/>
      <c r="X23"/>
      <c r="Y23"/>
      <c r="Z23"/>
      <c r="AA23"/>
      <c r="AB23"/>
      <c r="AC23"/>
      <c r="AD23" s="18"/>
    </row>
    <row r="24" spans="1:175" ht="12.75">
      <c r="A24"/>
      <c r="B24"/>
      <c r="C24"/>
      <c r="D24"/>
      <c r="E24"/>
      <c r="F24"/>
      <c r="G24"/>
      <c r="H24"/>
      <c r="I24"/>
      <c r="J24"/>
      <c r="K24"/>
      <c r="L24" s="144">
        <f>SUM(J12:J14)</f>
        <v>5057</v>
      </c>
      <c r="M24" s="144">
        <f>SUM(K12:K14)</f>
        <v>2201</v>
      </c>
      <c r="N24" s="15"/>
      <c r="O24"/>
      <c r="P24"/>
      <c r="Q24"/>
      <c r="R24"/>
      <c r="S24"/>
      <c r="T24"/>
      <c r="U24"/>
      <c r="V24"/>
      <c r="W24"/>
      <c r="X24"/>
      <c r="Y24"/>
      <c r="Z24"/>
      <c r="AA24"/>
      <c r="AC24"/>
      <c r="AD24" s="18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</row>
    <row r="25" spans="1:175" s="10" customFormat="1" ht="12.75">
      <c r="A25"/>
      <c r="B25"/>
      <c r="C25"/>
      <c r="D25"/>
      <c r="E25"/>
      <c r="F25"/>
      <c r="G25"/>
      <c r="H25"/>
      <c r="I25"/>
      <c r="J25"/>
      <c r="K25" t="s">
        <v>374</v>
      </c>
      <c r="L25" s="227">
        <f>SUM(L13:L15)</f>
        <v>3787</v>
      </c>
      <c r="M25" s="227">
        <f>SUM(M13:M15)</f>
        <v>1753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 s="18"/>
      <c r="AE25" s="16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</row>
    <row r="26" spans="1:175" ht="12.75">
      <c r="A26"/>
      <c r="B26"/>
      <c r="C26"/>
      <c r="D26"/>
      <c r="E26"/>
      <c r="F26"/>
      <c r="G26"/>
      <c r="H26"/>
      <c r="I26"/>
      <c r="J26"/>
      <c r="K26"/>
      <c r="L26" s="142">
        <f>SUM(D13:D16)</f>
        <v>5557</v>
      </c>
      <c r="M26" s="142">
        <f>SUM(E13:E16)</f>
        <v>2645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C26"/>
      <c r="AD26" s="18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</row>
    <row r="27" spans="1:175" ht="12.75">
      <c r="A27"/>
      <c r="B27"/>
      <c r="C27"/>
      <c r="D27"/>
      <c r="E27"/>
      <c r="F27"/>
      <c r="G27"/>
      <c r="H27"/>
      <c r="I27"/>
      <c r="J27"/>
      <c r="K27"/>
      <c r="L27" s="15">
        <f>SUM(D11:D14)</f>
        <v>5757</v>
      </c>
      <c r="M27" s="15">
        <f>SUM(E11:E14)</f>
        <v>1601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C27"/>
      <c r="AD27" s="18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</row>
    <row r="28" spans="1:175" s="10" customFormat="1" ht="12.75">
      <c r="A28"/>
      <c r="B28" s="146"/>
      <c r="C28" s="146"/>
      <c r="D28" s="146"/>
      <c r="E28" s="146"/>
      <c r="F28" s="146"/>
      <c r="G28" s="146"/>
      <c r="H28"/>
      <c r="I28"/>
      <c r="J28"/>
      <c r="K28"/>
      <c r="L28"/>
      <c r="M28"/>
      <c r="N28" s="1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 s="18"/>
      <c r="AE28" s="16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</row>
    <row r="29" spans="1:175" ht="12.75">
      <c r="A29"/>
      <c r="B29" s="146"/>
      <c r="C29" t="s">
        <v>395</v>
      </c>
      <c r="D29" s="181" t="s">
        <v>127</v>
      </c>
      <c r="E29" s="143" t="s">
        <v>135</v>
      </c>
      <c r="F29"/>
      <c r="G29" s="14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C29"/>
      <c r="AD29" s="18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</row>
    <row r="30" spans="1:175" ht="12.75">
      <c r="A30"/>
      <c r="B30" s="146"/>
      <c r="C30" s="144" t="s">
        <v>289</v>
      </c>
      <c r="D30" s="15">
        <v>14497</v>
      </c>
      <c r="E30" s="16">
        <v>6905</v>
      </c>
      <c r="F30" t="s">
        <v>396</v>
      </c>
      <c r="G30" s="14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C30"/>
      <c r="AD30" s="18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</row>
    <row r="31" spans="1:175" ht="12.75">
      <c r="A31"/>
      <c r="B31" s="146"/>
      <c r="C31"/>
      <c r="D31" s="191">
        <f>14497/4</f>
        <v>3624.25</v>
      </c>
      <c r="E31" s="191">
        <f>6905/2</f>
        <v>3452.5</v>
      </c>
      <c r="F31" t="s">
        <v>397</v>
      </c>
      <c r="G31" s="146"/>
      <c r="H31"/>
      <c r="I31"/>
      <c r="J31"/>
      <c r="K31"/>
      <c r="L31"/>
      <c r="M31"/>
      <c r="N31" s="15"/>
      <c r="O31"/>
      <c r="P31"/>
      <c r="Q31"/>
      <c r="R31"/>
      <c r="S31"/>
      <c r="T31"/>
      <c r="U31"/>
      <c r="V31"/>
      <c r="W31"/>
      <c r="X31"/>
      <c r="Y31"/>
      <c r="Z31"/>
      <c r="AA31"/>
      <c r="AC31"/>
      <c r="AD31" s="18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</row>
    <row r="32" spans="1:175" ht="12.75">
      <c r="A32"/>
      <c r="B32" s="146"/>
      <c r="C32" s="146"/>
      <c r="D32" s="146"/>
      <c r="E32" s="146"/>
      <c r="F32" s="146"/>
      <c r="G32" s="14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C32"/>
      <c r="AD32" s="18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</row>
    <row r="33" spans="1:17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C33"/>
      <c r="AD33" s="18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</row>
    <row r="34" spans="1:175" ht="12.75">
      <c r="A34"/>
      <c r="B34"/>
      <c r="C34" s="10" t="s">
        <v>4</v>
      </c>
      <c r="D34" s="68">
        <f>(3800*4)+200</f>
        <v>15400</v>
      </c>
      <c r="E34" s="68">
        <f>(3800*2)+100</f>
        <v>7700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C34"/>
      <c r="AD34" s="18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</row>
    <row r="35" spans="1:175" ht="12.75">
      <c r="A35"/>
      <c r="B35"/>
      <c r="C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C35"/>
      <c r="AD35" s="18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</row>
    <row r="36" spans="1:175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 s="18"/>
      <c r="AE36" s="16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</row>
    <row r="37" spans="1:30" s="1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 s="18"/>
    </row>
    <row r="38" spans="1:17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C38"/>
      <c r="AD38" s="18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</row>
    <row r="39" spans="1:17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C39"/>
      <c r="AD39" s="18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</row>
    <row r="40" spans="1:175" s="14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 s="18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</row>
    <row r="41" spans="1:17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C41"/>
      <c r="AD41" s="18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</row>
    <row r="42" spans="1:17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C42"/>
      <c r="AD42" s="18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</row>
    <row r="43" spans="1:17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C43"/>
      <c r="AD43" s="18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</row>
    <row r="44" spans="1:17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C44"/>
      <c r="AD44" s="18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</row>
    <row r="45" spans="1:30" s="1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20"/>
    </row>
    <row r="46" spans="1:175" s="10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8"/>
      <c r="AE46" s="16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</row>
    <row r="47" spans="1:30" s="15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8"/>
    </row>
    <row r="48" spans="1:175" s="14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20"/>
      <c r="AE48" s="1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</row>
    <row r="49" spans="1:30" s="1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20"/>
    </row>
    <row r="50" spans="1:30" s="1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20"/>
    </row>
    <row r="51" spans="1:30" s="12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20"/>
    </row>
    <row r="52" spans="1:30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20"/>
    </row>
    <row r="53" spans="1:30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20"/>
    </row>
    <row r="54" spans="1:30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20"/>
    </row>
    <row r="55" spans="1:30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20"/>
    </row>
    <row r="56" spans="1:30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20"/>
    </row>
    <row r="57" spans="1:30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20"/>
    </row>
    <row r="58" spans="1:5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C58"/>
      <c r="AD58" s="18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C59"/>
      <c r="AD59" s="18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C60"/>
      <c r="AD60" s="18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C61"/>
      <c r="AD61" s="18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C62"/>
      <c r="AD62" s="18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C63"/>
      <c r="AD63" s="18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C64"/>
      <c r="AD64" s="18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C65"/>
      <c r="AD65" s="18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s="10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8"/>
      <c r="AE66" s="16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30" s="15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8"/>
    </row>
    <row r="68" spans="1:30" s="15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8"/>
    </row>
    <row r="69" spans="1:30" s="15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8"/>
    </row>
    <row r="70" spans="1:30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8"/>
    </row>
    <row r="71" spans="1:55" s="10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8"/>
      <c r="AE71" s="16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1:5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C72"/>
      <c r="AD72" s="18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1:42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8"/>
      <c r="AP73" s="9"/>
    </row>
    <row r="74" spans="1:30" s="15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8"/>
    </row>
    <row r="75" spans="1:30" s="15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8"/>
    </row>
    <row r="76" spans="1:5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C76"/>
      <c r="AD76" s="18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spans="1:3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C77"/>
      <c r="AD77" s="18"/>
      <c r="AE77" s="15"/>
    </row>
    <row r="78" spans="1:31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26"/>
      <c r="AE78" s="32"/>
    </row>
    <row r="79" spans="1:3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C79"/>
      <c r="AD79" s="18"/>
      <c r="AE79" s="15"/>
    </row>
    <row r="80" spans="1:3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C80"/>
      <c r="AD80" s="18"/>
      <c r="AE80" s="15"/>
    </row>
    <row r="81" spans="1:30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C81"/>
      <c r="AD81" s="19"/>
    </row>
    <row r="82" spans="1:30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C82"/>
      <c r="AD82" s="19"/>
    </row>
    <row r="83" spans="1:30" s="1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27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C84"/>
      <c r="AD84" s="19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C85"/>
      <c r="AD85" s="19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C86"/>
      <c r="AD86" s="19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C87"/>
      <c r="AD87" s="19"/>
    </row>
    <row r="88" spans="1:5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C88"/>
      <c r="AD88" s="18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1:5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C89"/>
      <c r="AD89" s="18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C90"/>
      <c r="AD90" s="19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C91"/>
      <c r="AD91" s="19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C92"/>
      <c r="AD92" s="19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C93"/>
      <c r="AD93" s="19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C94"/>
      <c r="AD94" s="19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C95"/>
      <c r="AD95" s="19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C96"/>
      <c r="AD96" s="19"/>
    </row>
    <row r="97" spans="1:30" s="1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2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C98"/>
      <c r="AD98" s="19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C99"/>
      <c r="AD99" s="1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C100"/>
      <c r="AD100" s="19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C101"/>
      <c r="AD101" s="19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C102"/>
      <c r="AD102" s="19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C103"/>
      <c r="AD103" s="19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C104"/>
      <c r="AD104" s="19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C105"/>
      <c r="AD105" s="19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C106"/>
      <c r="AD106" s="19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C107"/>
      <c r="AD107" s="19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C108"/>
      <c r="AD108" s="19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C109"/>
      <c r="AD109" s="8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C110"/>
      <c r="AD110" s="8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C111"/>
      <c r="AD111" s="8"/>
    </row>
    <row r="112" spans="29:30" ht="12.75">
      <c r="AC112" s="8"/>
      <c r="AD112" s="8"/>
    </row>
    <row r="113" spans="29:30" ht="12.75">
      <c r="AC113" s="8"/>
      <c r="AD113" s="8"/>
    </row>
    <row r="114" spans="29:30" ht="12.75">
      <c r="AC114" s="8"/>
      <c r="AD114" s="8"/>
    </row>
    <row r="115" spans="29:30" ht="12.75">
      <c r="AC115" s="8"/>
      <c r="AD115" s="8"/>
    </row>
    <row r="116" spans="29:30" ht="12.75">
      <c r="AC116" s="8"/>
      <c r="AD116" s="8"/>
    </row>
    <row r="117" spans="29:30" ht="12.75">
      <c r="AC117" s="8"/>
      <c r="AD117" s="8"/>
    </row>
    <row r="118" spans="29:30" ht="12.75">
      <c r="AC118" s="8"/>
      <c r="AD118" s="8"/>
    </row>
    <row r="119" spans="29:30" ht="12.75">
      <c r="AC119" s="8"/>
      <c r="AD119" s="8"/>
    </row>
    <row r="120" spans="29:30" ht="12.75">
      <c r="AC120" s="8"/>
      <c r="AD120" s="8"/>
    </row>
    <row r="121" spans="29:30" ht="12.75">
      <c r="AC121" s="8"/>
      <c r="AD121" s="8"/>
    </row>
    <row r="122" spans="29:30" ht="12.75">
      <c r="AC122" s="8"/>
      <c r="AD122" s="8"/>
    </row>
    <row r="123" spans="29:30" ht="12.75">
      <c r="AC123" s="8"/>
      <c r="AD123" s="8"/>
    </row>
    <row r="124" spans="29:30" ht="12.75">
      <c r="AC124" s="8"/>
      <c r="AD124" s="8"/>
    </row>
    <row r="125" spans="29:30" ht="12.75">
      <c r="AC125" s="8"/>
      <c r="AD125" s="8"/>
    </row>
    <row r="126" spans="29:30" ht="12.75">
      <c r="AC126" s="8"/>
      <c r="AD126" s="8"/>
    </row>
    <row r="127" spans="29:30" ht="12.75">
      <c r="AC127" s="8"/>
      <c r="AD127" s="8"/>
    </row>
    <row r="128" spans="29:30" ht="12.75">
      <c r="AC128" s="8"/>
      <c r="AD128" s="8"/>
    </row>
    <row r="129" spans="29:30" ht="12.75">
      <c r="AC129" s="8"/>
      <c r="AD129" s="8"/>
    </row>
    <row r="130" spans="29:30" ht="12.75">
      <c r="AC130" s="8"/>
      <c r="AD130" s="8"/>
    </row>
    <row r="131" spans="29:30" ht="12.75">
      <c r="AC131" s="8"/>
      <c r="AD131" s="8"/>
    </row>
    <row r="132" spans="29:30" ht="12.75">
      <c r="AC132" s="8"/>
      <c r="AD132" s="8"/>
    </row>
    <row r="133" spans="29:30" ht="12.75">
      <c r="AC133" s="8"/>
      <c r="AD133" s="8"/>
    </row>
    <row r="134" spans="29:30" ht="12.75">
      <c r="AC134" s="8"/>
      <c r="AD134" s="8"/>
    </row>
    <row r="135" spans="29:30" ht="12.75">
      <c r="AC135" s="8"/>
      <c r="AD135" s="8"/>
    </row>
    <row r="136" spans="29:30" ht="12.75">
      <c r="AC136" s="8"/>
      <c r="AD136" s="8"/>
    </row>
    <row r="137" spans="29:30" ht="12.75">
      <c r="AC137" s="8"/>
      <c r="AD137" s="8"/>
    </row>
    <row r="138" spans="29:30" ht="12.75">
      <c r="AC138" s="8"/>
      <c r="AD138" s="8"/>
    </row>
    <row r="139" spans="29:30" ht="12.75">
      <c r="AC139" s="8"/>
      <c r="AD139" s="8"/>
    </row>
    <row r="140" spans="29:30" ht="12.75">
      <c r="AC140" s="8"/>
      <c r="AD140" s="8"/>
    </row>
    <row r="141" spans="29:30" ht="12.75">
      <c r="AC141" s="8"/>
      <c r="AD141" s="8"/>
    </row>
    <row r="142" spans="29:30" ht="12.75">
      <c r="AC142" s="8"/>
      <c r="AD142" s="8"/>
    </row>
    <row r="143" spans="29:30" ht="12.75">
      <c r="AC143" s="8"/>
      <c r="AD143" s="8"/>
    </row>
    <row r="144" spans="29:30" ht="12.75">
      <c r="AC144" s="8"/>
      <c r="AD144" s="8"/>
    </row>
    <row r="145" spans="29:30" ht="12.75">
      <c r="AC145" s="8"/>
      <c r="AD145" s="8"/>
    </row>
    <row r="146" spans="29:30" ht="12.75">
      <c r="AC146" s="8"/>
      <c r="AD146" s="8"/>
    </row>
    <row r="147" spans="29:30" ht="12.75">
      <c r="AC147" s="8"/>
      <c r="AD147" s="8"/>
    </row>
    <row r="148" spans="29:30" ht="12.75">
      <c r="AC148" s="8"/>
      <c r="AD148" s="8"/>
    </row>
    <row r="149" spans="29:30" ht="12.75">
      <c r="AC149" s="8"/>
      <c r="AD149" s="8"/>
    </row>
    <row r="150" spans="29:30" ht="12.75">
      <c r="AC150" s="8"/>
      <c r="AD150" s="8"/>
    </row>
    <row r="151" spans="29:30" ht="12.75">
      <c r="AC151" s="8"/>
      <c r="AD151" s="8"/>
    </row>
    <row r="152" spans="29:30" ht="12.75">
      <c r="AC152" s="8"/>
      <c r="AD152" s="8"/>
    </row>
    <row r="153" spans="29:30" ht="12.75">
      <c r="AC153" s="8"/>
      <c r="AD153" s="8"/>
    </row>
    <row r="154" spans="29:30" ht="12.75">
      <c r="AC154" s="8"/>
      <c r="AD154" s="8"/>
    </row>
    <row r="155" spans="29:30" ht="12.75">
      <c r="AC155" s="8"/>
      <c r="AD155" s="8"/>
    </row>
    <row r="156" spans="29:30" ht="12.75">
      <c r="AC156" s="8"/>
      <c r="AD156" s="8"/>
    </row>
    <row r="157" spans="29:30" ht="12.75">
      <c r="AC157" s="8"/>
      <c r="AD157" s="8"/>
    </row>
    <row r="158" spans="29:30" ht="12.75">
      <c r="AC158" s="8"/>
      <c r="AD158" s="8"/>
    </row>
    <row r="159" spans="29:30" ht="12.75">
      <c r="AC159" s="8"/>
      <c r="AD159" s="8"/>
    </row>
    <row r="160" spans="29:30" ht="12.75">
      <c r="AC160" s="8"/>
      <c r="AD160" s="8"/>
    </row>
    <row r="161" spans="29:30" ht="12.75">
      <c r="AC161" s="8"/>
      <c r="AD161" s="8"/>
    </row>
    <row r="162" spans="29:30" ht="12.75">
      <c r="AC162" s="8"/>
      <c r="AD162" s="8"/>
    </row>
    <row r="163" spans="29:30" ht="12.75">
      <c r="AC163" s="8"/>
      <c r="AD163" s="8"/>
    </row>
    <row r="164" spans="29:30" ht="12.75">
      <c r="AC164" s="8"/>
      <c r="AD164" s="8"/>
    </row>
    <row r="165" spans="29:30" ht="12.75">
      <c r="AC165" s="8"/>
      <c r="AD165" s="8"/>
    </row>
    <row r="166" spans="29:30" ht="12.75">
      <c r="AC166" s="8"/>
      <c r="AD166" s="8"/>
    </row>
    <row r="167" spans="29:30" ht="12.75">
      <c r="AC167" s="8"/>
      <c r="AD167" s="8"/>
    </row>
    <row r="168" spans="29:30" ht="12.75">
      <c r="AC168" s="8"/>
      <c r="AD168" s="8"/>
    </row>
    <row r="169" spans="29:30" ht="12.75">
      <c r="AC169" s="8"/>
      <c r="AD169" s="8"/>
    </row>
    <row r="170" spans="29:30" ht="12.75">
      <c r="AC170" s="8"/>
      <c r="AD170" s="8"/>
    </row>
    <row r="171" spans="29:30" ht="12.75">
      <c r="AC171" s="8"/>
      <c r="AD171" s="8"/>
    </row>
    <row r="172" spans="29:30" ht="12.75">
      <c r="AC172" s="8"/>
      <c r="AD172" s="8"/>
    </row>
    <row r="173" spans="29:30" ht="12.75">
      <c r="AC173" s="8"/>
      <c r="AD173" s="8"/>
    </row>
    <row r="174" spans="29:30" ht="12.75">
      <c r="AC174" s="8"/>
      <c r="AD174" s="8"/>
    </row>
    <row r="175" spans="29:30" ht="12.75">
      <c r="AC175" s="8"/>
      <c r="AD175" s="8"/>
    </row>
    <row r="176" spans="29:30" ht="12.75">
      <c r="AC176" s="8"/>
      <c r="AD176" s="8"/>
    </row>
    <row r="177" spans="29:30" ht="12.75">
      <c r="AC177" s="8"/>
      <c r="AD177" s="8"/>
    </row>
    <row r="178" spans="29:30" ht="12.75">
      <c r="AC178" s="8"/>
      <c r="AD178" s="8"/>
    </row>
    <row r="179" spans="29:30" ht="12.75">
      <c r="AC179" s="8"/>
      <c r="AD179" s="8"/>
    </row>
    <row r="180" spans="29:30" ht="12.75">
      <c r="AC180" s="8"/>
      <c r="AD180" s="8"/>
    </row>
    <row r="181" spans="29:30" ht="12.75">
      <c r="AC181" s="8"/>
      <c r="AD181" s="8"/>
    </row>
    <row r="182" spans="29:30" ht="12.75">
      <c r="AC182" s="8"/>
      <c r="AD182" s="8"/>
    </row>
    <row r="183" spans="29:30" ht="12.75">
      <c r="AC183" s="8"/>
      <c r="AD183" s="8"/>
    </row>
    <row r="184" spans="29:30" ht="12.75">
      <c r="AC184" s="8"/>
      <c r="AD184" s="8"/>
    </row>
    <row r="185" spans="29:30" ht="12.75">
      <c r="AC185" s="8"/>
      <c r="AD185" s="8"/>
    </row>
    <row r="186" spans="29:30" ht="12.75">
      <c r="AC186" s="8"/>
      <c r="AD186" s="8"/>
    </row>
    <row r="187" spans="29:30" ht="12.75">
      <c r="AC187" s="8"/>
      <c r="AD187" s="8"/>
    </row>
    <row r="188" spans="29:30" ht="12.75">
      <c r="AC188" s="8"/>
      <c r="AD188" s="8"/>
    </row>
    <row r="189" spans="29:30" ht="12.75">
      <c r="AC189" s="8"/>
      <c r="AD189" s="8"/>
    </row>
    <row r="190" spans="29:30" ht="12.75">
      <c r="AC190" s="8"/>
      <c r="AD190" s="8"/>
    </row>
    <row r="191" spans="29:30" ht="12.75">
      <c r="AC191" s="8"/>
      <c r="AD191" s="8"/>
    </row>
    <row r="192" spans="29:30" ht="12.75">
      <c r="AC192" s="8"/>
      <c r="AD192" s="8"/>
    </row>
    <row r="193" spans="29:30" ht="12.75">
      <c r="AC193" s="8"/>
      <c r="AD193" s="8"/>
    </row>
    <row r="194" spans="29:30" ht="12.75">
      <c r="AC194" s="8"/>
      <c r="AD194" s="8"/>
    </row>
    <row r="195" spans="29:30" ht="12.75">
      <c r="AC195" s="8"/>
      <c r="AD195" s="8"/>
    </row>
    <row r="196" spans="29:30" ht="12.75">
      <c r="AC196" s="8"/>
      <c r="AD196" s="8"/>
    </row>
    <row r="197" spans="29:30" ht="12.75">
      <c r="AC197" s="8"/>
      <c r="AD197" s="8"/>
    </row>
    <row r="198" spans="29:30" ht="12.75">
      <c r="AC198" s="8"/>
      <c r="AD198" s="8"/>
    </row>
    <row r="199" spans="29:30" ht="12.75">
      <c r="AC199" s="8"/>
      <c r="AD199" s="8"/>
    </row>
    <row r="200" spans="29:30" ht="12.75">
      <c r="AC200" s="8"/>
      <c r="AD200" s="8"/>
    </row>
    <row r="201" spans="29:30" ht="12.75">
      <c r="AC201" s="8"/>
      <c r="AD201" s="8"/>
    </row>
    <row r="202" spans="29:30" ht="12.75">
      <c r="AC202" s="8"/>
      <c r="AD202" s="8"/>
    </row>
    <row r="203" spans="29:30" ht="12.75">
      <c r="AC203" s="8"/>
      <c r="AD203" s="8"/>
    </row>
    <row r="204" spans="29:30" ht="12.75">
      <c r="AC204" s="8"/>
      <c r="AD204" s="8"/>
    </row>
    <row r="205" spans="29:30" ht="12.75">
      <c r="AC205" s="8"/>
      <c r="AD205" s="8"/>
    </row>
    <row r="206" spans="29:30" ht="12.75">
      <c r="AC206" s="8"/>
      <c r="AD206" s="8"/>
    </row>
    <row r="207" spans="29:30" ht="12.75">
      <c r="AC207" s="8"/>
      <c r="AD207" s="8"/>
    </row>
    <row r="208" spans="29:30" ht="12.75">
      <c r="AC208" s="8"/>
      <c r="AD208" s="8"/>
    </row>
    <row r="209" spans="29:30" ht="12.75">
      <c r="AC209" s="8"/>
      <c r="AD209" s="8"/>
    </row>
    <row r="210" spans="29:30" ht="12.75">
      <c r="AC210" s="8"/>
      <c r="AD210" s="8"/>
    </row>
    <row r="211" spans="29:30" ht="12.75">
      <c r="AC211" s="8"/>
      <c r="AD211" s="8"/>
    </row>
    <row r="212" spans="29:30" ht="12.75">
      <c r="AC212" s="8"/>
      <c r="AD212" s="8"/>
    </row>
    <row r="213" spans="29:30" ht="12.75">
      <c r="AC213" s="8"/>
      <c r="AD213" s="8"/>
    </row>
    <row r="214" spans="29:30" ht="12.75">
      <c r="AC214" s="8"/>
      <c r="AD214" s="8"/>
    </row>
    <row r="215" spans="29:30" ht="12.75">
      <c r="AC215" s="8"/>
      <c r="AD215" s="8"/>
    </row>
    <row r="216" spans="29:30" ht="12.75">
      <c r="AC216" s="8"/>
      <c r="AD216" s="8"/>
    </row>
    <row r="217" spans="29:30" ht="12.75">
      <c r="AC217" s="8"/>
      <c r="AD217" s="8"/>
    </row>
    <row r="218" spans="29:30" ht="12.75">
      <c r="AC218" s="8"/>
      <c r="AD218" s="8"/>
    </row>
    <row r="219" spans="29:30" ht="12.75">
      <c r="AC219" s="8"/>
      <c r="AD219" s="8"/>
    </row>
    <row r="220" spans="29:30" ht="12.75">
      <c r="AC220" s="8"/>
      <c r="AD220" s="8"/>
    </row>
    <row r="221" spans="29:30" ht="12.75">
      <c r="AC221" s="8"/>
      <c r="AD221" s="8"/>
    </row>
    <row r="222" spans="29:30" ht="12.75">
      <c r="AC222" s="8"/>
      <c r="AD222" s="8"/>
    </row>
    <row r="223" spans="29:30" ht="12.75">
      <c r="AC223" s="8"/>
      <c r="AD223" s="8"/>
    </row>
    <row r="224" spans="29:30" ht="12.75">
      <c r="AC224" s="8"/>
      <c r="AD224" s="8"/>
    </row>
    <row r="225" spans="29:30" ht="12.75">
      <c r="AC225" s="8"/>
      <c r="AD225" s="8"/>
    </row>
    <row r="226" spans="29:30" ht="12.75">
      <c r="AC226" s="8"/>
      <c r="AD226" s="8"/>
    </row>
    <row r="227" spans="29:30" ht="12.75">
      <c r="AC227" s="8"/>
      <c r="AD227" s="8"/>
    </row>
    <row r="228" spans="29:30" ht="12.75">
      <c r="AC228" s="8"/>
      <c r="AD228" s="8"/>
    </row>
    <row r="229" spans="29:30" ht="12.75">
      <c r="AC229" s="8"/>
      <c r="AD229" s="8"/>
    </row>
    <row r="230" spans="29:30" ht="12.75">
      <c r="AC230" s="8"/>
      <c r="AD230" s="8"/>
    </row>
    <row r="231" spans="29:30" ht="12.75">
      <c r="AC231" s="8"/>
      <c r="AD231" s="8"/>
    </row>
    <row r="232" spans="29:30" ht="12.75">
      <c r="AC232" s="8"/>
      <c r="AD232" s="8"/>
    </row>
    <row r="233" spans="29:30" ht="12.75">
      <c r="AC233" s="8"/>
      <c r="AD233" s="8"/>
    </row>
    <row r="234" spans="29:30" ht="12.75">
      <c r="AC234" s="8"/>
      <c r="AD234" s="8"/>
    </row>
    <row r="235" spans="29:30" ht="12.75">
      <c r="AC235" s="8"/>
      <c r="AD235" s="8"/>
    </row>
    <row r="236" spans="29:30" ht="12.75">
      <c r="AC236" s="8"/>
      <c r="AD236" s="8"/>
    </row>
    <row r="237" spans="29:30" ht="12.75">
      <c r="AC237" s="8"/>
      <c r="AD237" s="8"/>
    </row>
    <row r="238" spans="29:30" ht="12.75">
      <c r="AC238" s="8"/>
      <c r="AD238" s="8"/>
    </row>
    <row r="239" spans="29:30" ht="12.75">
      <c r="AC239" s="8"/>
      <c r="AD239" s="8"/>
    </row>
    <row r="240" spans="29:30" ht="12.75">
      <c r="AC240" s="8"/>
      <c r="AD240" s="8"/>
    </row>
    <row r="241" spans="29:30" ht="12.75">
      <c r="AC241" s="8"/>
      <c r="AD241" s="8"/>
    </row>
    <row r="242" spans="29:30" ht="12.75">
      <c r="AC242" s="8"/>
      <c r="AD242" s="8"/>
    </row>
    <row r="243" spans="29:30" ht="12.75">
      <c r="AC243" s="8"/>
      <c r="AD243" s="8"/>
    </row>
    <row r="244" spans="29:30" ht="12.75">
      <c r="AC244" s="8"/>
      <c r="AD244" s="8"/>
    </row>
    <row r="245" spans="29:30" ht="12.75">
      <c r="AC245" s="8"/>
      <c r="AD245" s="8"/>
    </row>
    <row r="246" spans="29:30" ht="12.75">
      <c r="AC246" s="8"/>
      <c r="AD246" s="8"/>
    </row>
    <row r="247" spans="29:30" ht="12.75">
      <c r="AC247" s="8"/>
      <c r="AD247" s="8"/>
    </row>
    <row r="248" spans="29:30" ht="12.75">
      <c r="AC248" s="8"/>
      <c r="AD248" s="8"/>
    </row>
    <row r="249" spans="29:30" ht="12.75">
      <c r="AC249" s="8"/>
      <c r="AD249" s="8"/>
    </row>
    <row r="250" spans="29:30" ht="12.75">
      <c r="AC250" s="8"/>
      <c r="AD250" s="8"/>
    </row>
    <row r="251" spans="29:30" ht="12.75">
      <c r="AC251" s="8"/>
      <c r="AD251" s="8"/>
    </row>
    <row r="252" spans="29:30" ht="12.75">
      <c r="AC252" s="8"/>
      <c r="AD252" s="8"/>
    </row>
    <row r="253" spans="29:30" ht="12.75">
      <c r="AC253" s="8"/>
      <c r="AD253" s="8"/>
    </row>
    <row r="254" spans="29:30" ht="12.75">
      <c r="AC254" s="8"/>
      <c r="AD254" s="8"/>
    </row>
    <row r="255" spans="29:30" ht="12.75">
      <c r="AC255" s="8"/>
      <c r="AD255" s="8"/>
    </row>
    <row r="256" spans="29:30" ht="12.75">
      <c r="AC256" s="8"/>
      <c r="AD256" s="8"/>
    </row>
    <row r="257" spans="29:30" ht="12.75">
      <c r="AC257" s="8"/>
      <c r="AD257" s="8"/>
    </row>
    <row r="258" spans="29:30" ht="12.75">
      <c r="AC258" s="8"/>
      <c r="AD258" s="8"/>
    </row>
    <row r="259" spans="29:30" ht="12.75">
      <c r="AC259" s="8"/>
      <c r="AD259" s="8"/>
    </row>
    <row r="260" spans="29:30" ht="12.75">
      <c r="AC260" s="8"/>
      <c r="AD260" s="8"/>
    </row>
    <row r="261" spans="29:30" ht="12.75">
      <c r="AC261" s="8"/>
      <c r="AD261" s="8"/>
    </row>
    <row r="262" spans="29:30" ht="12.75">
      <c r="AC262" s="8"/>
      <c r="AD262" s="8"/>
    </row>
    <row r="263" spans="29:30" ht="12.75">
      <c r="AC263" s="8"/>
      <c r="AD263" s="8"/>
    </row>
    <row r="264" spans="29:30" ht="12.75">
      <c r="AC264" s="8"/>
      <c r="AD264" s="8"/>
    </row>
    <row r="265" spans="29:30" ht="12.75">
      <c r="AC265" s="8"/>
      <c r="AD265" s="8"/>
    </row>
    <row r="266" spans="29:30" ht="12.75">
      <c r="AC266" s="8"/>
      <c r="AD266" s="8"/>
    </row>
    <row r="267" spans="29:30" ht="12.75">
      <c r="AC267" s="8"/>
      <c r="AD267" s="8"/>
    </row>
    <row r="268" spans="29:30" ht="12.75">
      <c r="AC268" s="8"/>
      <c r="AD268" s="8"/>
    </row>
    <row r="269" spans="29:30" ht="12.75">
      <c r="AC269" s="8"/>
      <c r="AD269" s="8"/>
    </row>
    <row r="270" spans="29:30" ht="12.75">
      <c r="AC270" s="8"/>
      <c r="AD270" s="8"/>
    </row>
    <row r="271" spans="29:30" ht="12.75">
      <c r="AC271" s="8"/>
      <c r="AD271" s="8"/>
    </row>
    <row r="272" spans="29:30" ht="12.75">
      <c r="AC272" s="8"/>
      <c r="AD272" s="8"/>
    </row>
    <row r="273" spans="29:30" ht="12.75">
      <c r="AC273" s="8"/>
      <c r="AD273" s="8"/>
    </row>
    <row r="274" spans="29:30" ht="12.75">
      <c r="AC274" s="8"/>
      <c r="AD274" s="8"/>
    </row>
    <row r="275" spans="29:30" ht="12.75">
      <c r="AC275" s="8"/>
      <c r="AD275" s="8"/>
    </row>
    <row r="276" spans="29:30" ht="12.75">
      <c r="AC276" s="8"/>
      <c r="AD276" s="8"/>
    </row>
    <row r="277" spans="29:30" ht="12.75">
      <c r="AC277" s="8"/>
      <c r="AD277" s="8"/>
    </row>
    <row r="278" spans="29:30" ht="12.75">
      <c r="AC278" s="8"/>
      <c r="AD278" s="8"/>
    </row>
    <row r="279" spans="29:30" ht="12.75">
      <c r="AC279" s="8"/>
      <c r="AD279" s="8"/>
    </row>
    <row r="280" spans="29:30" ht="12.75">
      <c r="AC280" s="8"/>
      <c r="AD280" s="8"/>
    </row>
    <row r="281" spans="29:30" ht="12.75">
      <c r="AC281" s="8"/>
      <c r="AD281" s="8"/>
    </row>
    <row r="282" spans="29:30" ht="12.75">
      <c r="AC282" s="8"/>
      <c r="AD282" s="8"/>
    </row>
    <row r="283" spans="29:30" ht="12.75">
      <c r="AC283" s="8"/>
      <c r="AD283" s="8"/>
    </row>
    <row r="284" spans="29:30" ht="12.75">
      <c r="AC284" s="8"/>
      <c r="AD284" s="8"/>
    </row>
    <row r="285" spans="29:30" ht="12.75">
      <c r="AC285" s="8"/>
      <c r="AD285" s="8"/>
    </row>
    <row r="286" spans="29:30" ht="12.75">
      <c r="AC286" s="8"/>
      <c r="AD286" s="8"/>
    </row>
    <row r="287" spans="29:30" ht="12.75">
      <c r="AC287" s="8"/>
      <c r="AD287" s="8"/>
    </row>
    <row r="288" spans="29:30" ht="12.75">
      <c r="AC288" s="8"/>
      <c r="AD288" s="8"/>
    </row>
    <row r="289" spans="29:30" ht="12.75">
      <c r="AC289" s="8"/>
      <c r="AD289" s="8"/>
    </row>
    <row r="290" spans="29:30" ht="12.75">
      <c r="AC290" s="8"/>
      <c r="AD290" s="8"/>
    </row>
    <row r="291" spans="29:30" ht="12.75">
      <c r="AC291" s="8"/>
      <c r="AD291" s="8"/>
    </row>
    <row r="292" spans="29:30" ht="12.75">
      <c r="AC292" s="8"/>
      <c r="AD292" s="8"/>
    </row>
    <row r="293" spans="29:30" ht="12.75">
      <c r="AC293" s="8"/>
      <c r="AD293" s="8"/>
    </row>
    <row r="294" spans="29:30" ht="12.75">
      <c r="AC294" s="8"/>
      <c r="AD294" s="8"/>
    </row>
    <row r="295" spans="29:30" ht="12.75">
      <c r="AC295" s="8"/>
      <c r="AD295" s="8"/>
    </row>
    <row r="296" spans="29:30" ht="12.75">
      <c r="AC296" s="8"/>
      <c r="AD296" s="8"/>
    </row>
    <row r="297" spans="29:30" ht="12.75">
      <c r="AC297" s="8"/>
      <c r="AD297" s="8"/>
    </row>
    <row r="298" spans="29:30" ht="12.75">
      <c r="AC298" s="8"/>
      <c r="AD298" s="8"/>
    </row>
    <row r="299" spans="29:30" ht="12.75">
      <c r="AC299" s="8"/>
      <c r="AD299" s="8"/>
    </row>
    <row r="300" spans="29:30" ht="12.75">
      <c r="AC300" s="8"/>
      <c r="AD300" s="8"/>
    </row>
    <row r="301" spans="29:30" ht="12.75">
      <c r="AC301" s="8"/>
      <c r="AD301" s="8"/>
    </row>
    <row r="302" spans="29:30" ht="12.75">
      <c r="AC302" s="8"/>
      <c r="AD302" s="8"/>
    </row>
    <row r="303" spans="29:30" ht="12.75">
      <c r="AC303" s="8"/>
      <c r="AD303" s="8"/>
    </row>
    <row r="304" spans="29:30" ht="12.75">
      <c r="AC304" s="8"/>
      <c r="AD304" s="8"/>
    </row>
    <row r="305" spans="29:30" ht="12.75">
      <c r="AC305" s="8"/>
      <c r="AD305" s="8"/>
    </row>
    <row r="306" spans="29:30" ht="12.75">
      <c r="AC306" s="8"/>
      <c r="AD306" s="8"/>
    </row>
    <row r="307" spans="29:30" ht="12.75">
      <c r="AC307" s="8"/>
      <c r="AD307" s="8"/>
    </row>
    <row r="308" spans="29:30" ht="12.75">
      <c r="AC308" s="8"/>
      <c r="AD308" s="8"/>
    </row>
    <row r="309" spans="29:30" ht="12.75">
      <c r="AC309" s="8"/>
      <c r="AD309" s="8"/>
    </row>
    <row r="310" spans="29:30" ht="12.75">
      <c r="AC310" s="8"/>
      <c r="AD310" s="8"/>
    </row>
    <row r="311" spans="29:30" ht="12.75">
      <c r="AC311" s="8"/>
      <c r="AD311" s="8"/>
    </row>
    <row r="312" spans="29:30" ht="12.75">
      <c r="AC312" s="8"/>
      <c r="AD312" s="8"/>
    </row>
    <row r="313" spans="29:30" ht="12.75">
      <c r="AC313" s="8"/>
      <c r="AD313" s="8"/>
    </row>
    <row r="314" spans="29:30" ht="12.75">
      <c r="AC314" s="8"/>
      <c r="AD314" s="8"/>
    </row>
    <row r="315" spans="29:30" ht="12.75">
      <c r="AC315" s="8"/>
      <c r="AD315" s="8"/>
    </row>
    <row r="316" spans="29:30" ht="12.75">
      <c r="AC316" s="8"/>
      <c r="AD316" s="8"/>
    </row>
    <row r="317" spans="29:30" ht="12.75">
      <c r="AC317" s="8"/>
      <c r="AD317" s="8"/>
    </row>
    <row r="318" spans="29:30" ht="12.75">
      <c r="AC318" s="8"/>
      <c r="AD318" s="8"/>
    </row>
    <row r="319" spans="29:30" ht="12.75">
      <c r="AC319" s="8"/>
      <c r="AD319" s="8"/>
    </row>
    <row r="320" spans="29:30" ht="12.75">
      <c r="AC320" s="8"/>
      <c r="AD320" s="8"/>
    </row>
    <row r="321" spans="29:30" ht="12.75">
      <c r="AC321" s="8"/>
      <c r="AD321" s="8"/>
    </row>
    <row r="322" spans="29:30" ht="12.75">
      <c r="AC322" s="8"/>
      <c r="AD322" s="8"/>
    </row>
    <row r="323" spans="29:30" ht="12.75">
      <c r="AC323" s="8"/>
      <c r="AD323" s="8"/>
    </row>
    <row r="324" spans="29:30" ht="12.75">
      <c r="AC324" s="8"/>
      <c r="AD324" s="8"/>
    </row>
    <row r="325" spans="29:30" ht="12.75">
      <c r="AC325" s="8"/>
      <c r="AD325" s="8"/>
    </row>
    <row r="326" spans="29:30" ht="12.75">
      <c r="AC326" s="8"/>
      <c r="AD326" s="8"/>
    </row>
    <row r="327" spans="29:30" ht="12.75">
      <c r="AC327" s="8"/>
      <c r="AD327" s="8"/>
    </row>
    <row r="328" spans="29:30" ht="12.75">
      <c r="AC328" s="8"/>
      <c r="AD328" s="8"/>
    </row>
    <row r="329" spans="29:30" ht="12.75">
      <c r="AC329" s="8"/>
      <c r="AD329" s="8"/>
    </row>
    <row r="330" spans="29:30" ht="12.75">
      <c r="AC330" s="8"/>
      <c r="AD330" s="8"/>
    </row>
    <row r="331" spans="29:30" ht="12.75">
      <c r="AC331" s="8"/>
      <c r="AD331" s="8"/>
    </row>
    <row r="332" spans="29:30" ht="12.75">
      <c r="AC332" s="8"/>
      <c r="AD332" s="8"/>
    </row>
    <row r="333" spans="29:30" ht="12.75">
      <c r="AC333" s="8"/>
      <c r="AD333" s="8"/>
    </row>
    <row r="334" spans="29:30" ht="12.75">
      <c r="AC334" s="8"/>
      <c r="AD334" s="8"/>
    </row>
    <row r="335" spans="29:30" ht="12.75">
      <c r="AC335" s="8"/>
      <c r="AD335" s="8"/>
    </row>
    <row r="336" spans="29:30" ht="12.75">
      <c r="AC336" s="8"/>
      <c r="AD336" s="8"/>
    </row>
    <row r="337" spans="29:30" ht="12.75">
      <c r="AC337" s="8"/>
      <c r="AD337" s="8"/>
    </row>
    <row r="338" spans="29:30" ht="12.75">
      <c r="AC338" s="8"/>
      <c r="AD338" s="8"/>
    </row>
    <row r="339" spans="29:30" ht="12.75">
      <c r="AC339" s="8"/>
      <c r="AD339" s="8"/>
    </row>
    <row r="340" spans="29:30" ht="12.75">
      <c r="AC340" s="8"/>
      <c r="AD340" s="8"/>
    </row>
    <row r="341" spans="29:30" ht="12.75">
      <c r="AC341" s="8"/>
      <c r="AD341" s="8"/>
    </row>
    <row r="342" spans="29:30" ht="12.75">
      <c r="AC342" s="8"/>
      <c r="AD342" s="8"/>
    </row>
    <row r="343" spans="29:30" ht="12.75">
      <c r="AC343" s="8"/>
      <c r="AD343" s="8"/>
    </row>
    <row r="344" spans="29:30" ht="12.75">
      <c r="AC344" s="8"/>
      <c r="AD344" s="8"/>
    </row>
    <row r="345" spans="29:30" ht="12.75">
      <c r="AC345" s="8"/>
      <c r="AD345" s="8"/>
    </row>
    <row r="346" spans="29:30" ht="12.75">
      <c r="AC346" s="8"/>
      <c r="AD346" s="8"/>
    </row>
    <row r="347" spans="29:30" ht="12.75">
      <c r="AC347" s="8"/>
      <c r="AD347" s="8"/>
    </row>
    <row r="348" spans="29:30" ht="12.75">
      <c r="AC348" s="8"/>
      <c r="AD348" s="8"/>
    </row>
    <row r="349" spans="29:30" ht="12.75">
      <c r="AC349" s="8"/>
      <c r="AD349" s="8"/>
    </row>
    <row r="350" spans="29:30" ht="12.75">
      <c r="AC350" s="8"/>
      <c r="AD350" s="8"/>
    </row>
    <row r="351" spans="29:30" ht="12.75">
      <c r="AC351" s="8"/>
      <c r="AD351" s="8"/>
    </row>
    <row r="352" spans="29:30" ht="12.75">
      <c r="AC352" s="8"/>
      <c r="AD352" s="8"/>
    </row>
    <row r="353" spans="29:30" ht="12.75">
      <c r="AC353" s="8"/>
      <c r="AD353" s="8"/>
    </row>
    <row r="354" spans="29:30" ht="12.75">
      <c r="AC354" s="8"/>
      <c r="AD354" s="8"/>
    </row>
    <row r="355" spans="29:30" ht="12.75">
      <c r="AC355" s="8"/>
      <c r="AD355" s="8"/>
    </row>
    <row r="356" spans="29:30" ht="12.75">
      <c r="AC356" s="8"/>
      <c r="AD356" s="8"/>
    </row>
    <row r="357" spans="29:30" ht="12.75">
      <c r="AC357" s="8"/>
      <c r="AD357" s="8"/>
    </row>
    <row r="358" spans="29:30" ht="12.75">
      <c r="AC358" s="8"/>
      <c r="AD358" s="8"/>
    </row>
    <row r="359" spans="29:30" ht="12.75">
      <c r="AC359" s="8"/>
      <c r="AD359" s="8"/>
    </row>
    <row r="360" spans="29:30" ht="12.75">
      <c r="AC360" s="8"/>
      <c r="AD360" s="8"/>
    </row>
    <row r="361" spans="29:30" ht="12.75">
      <c r="AC361" s="8"/>
      <c r="AD361" s="8"/>
    </row>
    <row r="362" spans="29:30" ht="12.75">
      <c r="AC362" s="8"/>
      <c r="AD362" s="8"/>
    </row>
    <row r="363" spans="29:30" ht="12.75">
      <c r="AC363" s="8"/>
      <c r="AD363" s="8"/>
    </row>
    <row r="364" spans="29:30" ht="12.75">
      <c r="AC364" s="8"/>
      <c r="AD364" s="8"/>
    </row>
    <row r="365" spans="29:30" ht="12.75">
      <c r="AC365" s="8"/>
      <c r="AD365" s="8"/>
    </row>
    <row r="366" spans="29:30" ht="12.75">
      <c r="AC366" s="8"/>
      <c r="AD366" s="8"/>
    </row>
    <row r="367" spans="29:30" ht="12.75">
      <c r="AC367" s="8"/>
      <c r="AD367" s="8"/>
    </row>
    <row r="368" spans="29:30" ht="12.75">
      <c r="AC368" s="8"/>
      <c r="AD368" s="8"/>
    </row>
    <row r="369" spans="29:30" ht="12.75">
      <c r="AC369" s="8"/>
      <c r="AD369" s="8"/>
    </row>
    <row r="370" spans="29:30" ht="12.75">
      <c r="AC370" s="8"/>
      <c r="AD370" s="8"/>
    </row>
    <row r="371" spans="29:30" ht="12.75">
      <c r="AC371" s="8"/>
      <c r="AD371" s="8"/>
    </row>
    <row r="372" spans="29:30" ht="12.75">
      <c r="AC372" s="8"/>
      <c r="AD372" s="8"/>
    </row>
    <row r="373" spans="29:30" ht="12.75">
      <c r="AC373" s="8"/>
      <c r="AD373" s="8"/>
    </row>
    <row r="374" spans="29:30" ht="12.75">
      <c r="AC374" s="8"/>
      <c r="AD374" s="8"/>
    </row>
    <row r="375" spans="29:30" ht="12.75">
      <c r="AC375" s="8"/>
      <c r="AD375" s="8"/>
    </row>
    <row r="376" spans="29:30" ht="12.75">
      <c r="AC376" s="8"/>
      <c r="AD376" s="8"/>
    </row>
    <row r="377" spans="29:30" ht="12.75">
      <c r="AC377" s="8"/>
      <c r="AD377" s="8"/>
    </row>
    <row r="378" spans="29:30" ht="12.75">
      <c r="AC378" s="8"/>
      <c r="AD378" s="8"/>
    </row>
    <row r="379" spans="29:30" ht="12.75">
      <c r="AC379" s="8"/>
      <c r="AD379" s="8"/>
    </row>
    <row r="380" spans="29:30" ht="12.75">
      <c r="AC380" s="8"/>
      <c r="AD380" s="8"/>
    </row>
    <row r="381" spans="29:30" ht="12.75">
      <c r="AC381" s="8"/>
      <c r="AD381" s="8"/>
    </row>
    <row r="382" spans="29:30" ht="12.75">
      <c r="AC382" s="8"/>
      <c r="AD382" s="8"/>
    </row>
    <row r="383" spans="29:30" ht="12.75">
      <c r="AC383" s="8"/>
      <c r="AD383" s="8"/>
    </row>
    <row r="384" spans="29:30" ht="12.75">
      <c r="AC384" s="8"/>
      <c r="AD384" s="8"/>
    </row>
    <row r="385" spans="29:30" ht="12.75">
      <c r="AC385" s="8"/>
      <c r="AD385" s="8"/>
    </row>
    <row r="386" spans="29:30" ht="12.75">
      <c r="AC386" s="8"/>
      <c r="AD386" s="8"/>
    </row>
    <row r="387" spans="29:30" ht="12.75">
      <c r="AC387" s="8"/>
      <c r="AD387" s="8"/>
    </row>
    <row r="388" spans="29:30" ht="12.75">
      <c r="AC388" s="8"/>
      <c r="AD388" s="8"/>
    </row>
    <row r="389" spans="29:30" ht="12.75">
      <c r="AC389" s="8"/>
      <c r="AD389" s="8"/>
    </row>
    <row r="390" spans="29:30" ht="12.75">
      <c r="AC390" s="8"/>
      <c r="AD390" s="8"/>
    </row>
    <row r="391" spans="29:30" ht="12.75">
      <c r="AC391" s="8"/>
      <c r="AD391" s="8"/>
    </row>
    <row r="392" spans="29:30" ht="12.75">
      <c r="AC392" s="8"/>
      <c r="AD392" s="8"/>
    </row>
    <row r="393" spans="29:30" ht="12.75">
      <c r="AC393" s="8"/>
      <c r="AD393" s="8"/>
    </row>
    <row r="394" spans="29:30" ht="12.75">
      <c r="AC394" s="8"/>
      <c r="AD394" s="8"/>
    </row>
    <row r="395" spans="29:30" ht="12.75">
      <c r="AC395" s="8"/>
      <c r="AD395" s="8"/>
    </row>
    <row r="396" spans="29:30" ht="12.75">
      <c r="AC396" s="8"/>
      <c r="AD396" s="8"/>
    </row>
    <row r="397" spans="29:30" ht="12.75">
      <c r="AC397" s="8"/>
      <c r="AD397" s="8"/>
    </row>
    <row r="398" spans="29:30" ht="12.75">
      <c r="AC398" s="8"/>
      <c r="AD398" s="8"/>
    </row>
    <row r="399" spans="29:30" ht="12.75">
      <c r="AC399" s="8"/>
      <c r="AD399" s="8"/>
    </row>
    <row r="400" spans="29:30" ht="12.75">
      <c r="AC400" s="8"/>
      <c r="AD400" s="8"/>
    </row>
    <row r="401" spans="29:30" ht="12.75">
      <c r="AC401" s="8"/>
      <c r="AD401" s="8"/>
    </row>
    <row r="402" spans="29:30" ht="12.75">
      <c r="AC402" s="8"/>
      <c r="AD402" s="8"/>
    </row>
    <row r="403" spans="29:30" ht="12.75">
      <c r="AC403" s="8"/>
      <c r="AD403" s="8"/>
    </row>
    <row r="404" spans="29:30" ht="12.75">
      <c r="AC404" s="8"/>
      <c r="AD404" s="8"/>
    </row>
    <row r="405" spans="29:30" ht="12.75">
      <c r="AC405" s="8"/>
      <c r="AD405" s="8"/>
    </row>
    <row r="406" spans="29:30" ht="12.75">
      <c r="AC406" s="8"/>
      <c r="AD406" s="8"/>
    </row>
    <row r="407" spans="29:30" ht="12.75">
      <c r="AC407" s="8"/>
      <c r="AD407" s="8"/>
    </row>
    <row r="408" spans="29:30" ht="12.75">
      <c r="AC408" s="8"/>
      <c r="AD408" s="8"/>
    </row>
    <row r="409" spans="29:30" ht="12.75">
      <c r="AC409" s="8"/>
      <c r="AD409" s="8"/>
    </row>
    <row r="410" spans="29:30" ht="12.75">
      <c r="AC410" s="8"/>
      <c r="AD410" s="8"/>
    </row>
    <row r="411" spans="29:30" ht="12.75">
      <c r="AC411" s="8"/>
      <c r="AD411" s="8"/>
    </row>
    <row r="412" spans="29:30" ht="12.75">
      <c r="AC412" s="8"/>
      <c r="AD412" s="8"/>
    </row>
    <row r="413" spans="29:30" ht="12.75">
      <c r="AC413" s="8"/>
      <c r="AD413" s="8"/>
    </row>
    <row r="414" spans="29:30" ht="12.75">
      <c r="AC414" s="8"/>
      <c r="AD414" s="8"/>
    </row>
    <row r="415" spans="29:30" ht="12.75">
      <c r="AC415" s="8"/>
      <c r="AD415" s="8"/>
    </row>
    <row r="416" spans="29:30" ht="12.75">
      <c r="AC416" s="8"/>
      <c r="AD416" s="8"/>
    </row>
    <row r="417" spans="29:30" ht="12.75">
      <c r="AC417" s="8"/>
      <c r="AD417" s="8"/>
    </row>
    <row r="418" spans="29:30" ht="12.75">
      <c r="AC418" s="8"/>
      <c r="AD418" s="8"/>
    </row>
    <row r="419" spans="29:30" ht="12.75">
      <c r="AC419" s="8"/>
      <c r="AD419" s="8"/>
    </row>
    <row r="420" spans="29:30" ht="12.75">
      <c r="AC420" s="8"/>
      <c r="AD420" s="8"/>
    </row>
    <row r="421" spans="29:30" ht="12.75">
      <c r="AC421" s="8"/>
      <c r="AD421" s="8"/>
    </row>
    <row r="422" spans="29:30" ht="12.75">
      <c r="AC422" s="8"/>
      <c r="AD422" s="8"/>
    </row>
    <row r="423" spans="29:30" ht="12.75">
      <c r="AC423" s="8"/>
      <c r="AD423" s="8"/>
    </row>
    <row r="424" spans="29:30" ht="12.75">
      <c r="AC424" s="8"/>
      <c r="AD424" s="8"/>
    </row>
    <row r="425" spans="29:30" ht="12.75">
      <c r="AC425" s="8"/>
      <c r="AD425" s="8"/>
    </row>
    <row r="426" spans="29:30" ht="12.75">
      <c r="AC426" s="8"/>
      <c r="AD426" s="8"/>
    </row>
    <row r="427" spans="29:30" ht="12.75">
      <c r="AC427" s="8"/>
      <c r="AD427" s="8"/>
    </row>
    <row r="428" spans="29:30" ht="12.75">
      <c r="AC428" s="8"/>
      <c r="AD428" s="8"/>
    </row>
    <row r="429" spans="29:30" ht="12.75">
      <c r="AC429" s="8"/>
      <c r="AD429" s="8"/>
    </row>
    <row r="430" spans="29:30" ht="12.75">
      <c r="AC430" s="8"/>
      <c r="AD430" s="8"/>
    </row>
    <row r="431" spans="29:30" ht="12.75">
      <c r="AC431" s="8"/>
      <c r="AD431" s="8"/>
    </row>
    <row r="432" spans="29:30" ht="12.75">
      <c r="AC432" s="8"/>
      <c r="AD432" s="8"/>
    </row>
    <row r="433" spans="29:30" ht="12.75">
      <c r="AC433" s="8"/>
      <c r="AD433" s="8"/>
    </row>
    <row r="434" spans="29:30" ht="12.75">
      <c r="AC434" s="8"/>
      <c r="AD434" s="8"/>
    </row>
    <row r="435" spans="29:30" ht="12.75">
      <c r="AC435" s="8"/>
      <c r="AD435" s="8"/>
    </row>
    <row r="436" spans="29:30" ht="12.75">
      <c r="AC436" s="8"/>
      <c r="AD436" s="8"/>
    </row>
    <row r="437" spans="29:30" ht="12.75">
      <c r="AC437" s="8"/>
      <c r="AD437" s="8"/>
    </row>
    <row r="438" spans="29:30" ht="12.75">
      <c r="AC438" s="8"/>
      <c r="AD438" s="8"/>
    </row>
    <row r="439" spans="29:30" ht="12.75">
      <c r="AC439" s="8"/>
      <c r="AD439" s="8"/>
    </row>
    <row r="440" spans="29:30" ht="12.75">
      <c r="AC440" s="8"/>
      <c r="AD440" s="8"/>
    </row>
    <row r="441" spans="29:30" ht="12.75">
      <c r="AC441" s="8"/>
      <c r="AD441" s="8"/>
    </row>
    <row r="442" spans="29:30" ht="12.75">
      <c r="AC442" s="8"/>
      <c r="AD442" s="8"/>
    </row>
    <row r="443" spans="29:30" ht="12.75">
      <c r="AC443" s="8"/>
      <c r="AD443" s="8"/>
    </row>
    <row r="444" spans="29:30" ht="12.75">
      <c r="AC444" s="8"/>
      <c r="AD444" s="8"/>
    </row>
    <row r="445" spans="29:30" ht="12.75">
      <c r="AC445" s="8"/>
      <c r="AD445" s="8"/>
    </row>
    <row r="446" spans="29:30" ht="12.75">
      <c r="AC446" s="8"/>
      <c r="AD446" s="8"/>
    </row>
    <row r="447" spans="29:30" ht="12.75">
      <c r="AC447" s="8"/>
      <c r="AD447" s="8"/>
    </row>
    <row r="448" spans="29:30" ht="12.75">
      <c r="AC448" s="8"/>
      <c r="AD448" s="8"/>
    </row>
    <row r="449" spans="29:30" ht="12.75">
      <c r="AC449" s="8"/>
      <c r="AD449" s="8"/>
    </row>
    <row r="450" spans="29:30" ht="12.75">
      <c r="AC450" s="8"/>
      <c r="AD450" s="8"/>
    </row>
    <row r="451" spans="29:30" ht="12.75">
      <c r="AC451" s="8"/>
      <c r="AD451" s="8"/>
    </row>
    <row r="452" spans="29:30" ht="12.75">
      <c r="AC452" s="8"/>
      <c r="AD452" s="8"/>
    </row>
    <row r="453" spans="29:30" ht="12.75">
      <c r="AC453" s="8"/>
      <c r="AD453" s="8"/>
    </row>
    <row r="454" spans="29:30" ht="12.75">
      <c r="AC454" s="8"/>
      <c r="AD454" s="8"/>
    </row>
    <row r="455" spans="29:30" ht="12.75">
      <c r="AC455" s="8"/>
      <c r="AD455" s="8"/>
    </row>
    <row r="456" spans="29:30" ht="12.75">
      <c r="AC456" s="8"/>
      <c r="AD456" s="8"/>
    </row>
    <row r="457" spans="29:30" ht="12.75">
      <c r="AC457" s="8"/>
      <c r="AD457" s="8"/>
    </row>
    <row r="458" spans="29:30" ht="12.75">
      <c r="AC458" s="8"/>
      <c r="AD458" s="8"/>
    </row>
    <row r="459" spans="29:30" ht="12.75">
      <c r="AC459" s="8"/>
      <c r="AD459" s="8"/>
    </row>
    <row r="460" spans="29:30" ht="12.75">
      <c r="AC460" s="8"/>
      <c r="AD460" s="8"/>
    </row>
    <row r="461" spans="29:30" ht="12.75">
      <c r="AC461" s="8"/>
      <c r="AD461" s="8"/>
    </row>
    <row r="462" spans="29:30" ht="12.75">
      <c r="AC462" s="8"/>
      <c r="AD462" s="8"/>
    </row>
    <row r="463" spans="29:30" ht="12.75">
      <c r="AC463" s="8"/>
      <c r="AD463" s="8"/>
    </row>
    <row r="464" spans="29:30" ht="12.75">
      <c r="AC464" s="8"/>
      <c r="AD464" s="8"/>
    </row>
    <row r="465" spans="29:30" ht="12.75">
      <c r="AC465" s="8"/>
      <c r="AD465" s="8"/>
    </row>
    <row r="466" spans="29:30" ht="12.75">
      <c r="AC466" s="8"/>
      <c r="AD466" s="8"/>
    </row>
    <row r="467" spans="29:30" ht="12.75">
      <c r="AC467" s="8"/>
      <c r="AD467" s="8"/>
    </row>
    <row r="468" spans="29:30" ht="12.75">
      <c r="AC468" s="8"/>
      <c r="AD468" s="8"/>
    </row>
    <row r="469" spans="29:30" ht="12.75">
      <c r="AC469" s="8"/>
      <c r="AD469" s="8"/>
    </row>
    <row r="470" spans="29:30" ht="12.75">
      <c r="AC470" s="8"/>
      <c r="AD470" s="8"/>
    </row>
    <row r="471" spans="29:30" ht="12.75">
      <c r="AC471" s="8"/>
      <c r="AD471" s="8"/>
    </row>
    <row r="472" spans="29:30" ht="12.75">
      <c r="AC472" s="8"/>
      <c r="AD472" s="8"/>
    </row>
    <row r="473" spans="29:30" ht="12.75">
      <c r="AC473" s="8"/>
      <c r="AD473" s="8"/>
    </row>
    <row r="474" spans="29:30" ht="12.75">
      <c r="AC474" s="8"/>
      <c r="AD474" s="8"/>
    </row>
    <row r="475" spans="29:30" ht="12.75">
      <c r="AC475" s="8"/>
      <c r="AD475" s="8"/>
    </row>
    <row r="476" spans="29:30" ht="12.75">
      <c r="AC476" s="8"/>
      <c r="AD476" s="8"/>
    </row>
    <row r="477" spans="29:30" ht="12.75">
      <c r="AC477" s="8"/>
      <c r="AD477" s="8"/>
    </row>
    <row r="478" spans="29:30" ht="12.75">
      <c r="AC478" s="8"/>
      <c r="AD478" s="8"/>
    </row>
    <row r="479" spans="29:30" ht="12.75">
      <c r="AC479" s="8"/>
      <c r="AD479" s="8"/>
    </row>
    <row r="480" spans="29:30" ht="12.75">
      <c r="AC480" s="8"/>
      <c r="AD480" s="8"/>
    </row>
    <row r="481" spans="29:30" ht="12.75">
      <c r="AC481" s="8"/>
      <c r="AD481" s="8"/>
    </row>
    <row r="482" spans="29:30" ht="12.75">
      <c r="AC482" s="8"/>
      <c r="AD482" s="8"/>
    </row>
    <row r="483" spans="29:30" ht="12.75">
      <c r="AC483" s="8"/>
      <c r="AD483" s="8"/>
    </row>
    <row r="484" spans="29:30" ht="12.75">
      <c r="AC484" s="8"/>
      <c r="AD484" s="8"/>
    </row>
    <row r="485" spans="29:30" ht="12.75">
      <c r="AC485" s="8"/>
      <c r="AD485" s="8"/>
    </row>
    <row r="486" spans="29:30" ht="12.75">
      <c r="AC486" s="8"/>
      <c r="AD486" s="8"/>
    </row>
    <row r="487" spans="29:30" ht="12.75">
      <c r="AC487" s="8"/>
      <c r="AD487" s="8"/>
    </row>
    <row r="488" spans="29:30" ht="12.75">
      <c r="AC488" s="8"/>
      <c r="AD488" s="8"/>
    </row>
    <row r="489" spans="29:30" ht="12.75">
      <c r="AC489" s="8"/>
      <c r="AD489" s="8"/>
    </row>
    <row r="490" spans="29:30" ht="12.75">
      <c r="AC490" s="8"/>
      <c r="AD490" s="8"/>
    </row>
    <row r="491" spans="29:30" ht="12.75">
      <c r="AC491" s="8"/>
      <c r="AD491" s="8"/>
    </row>
    <row r="492" spans="29:30" ht="12.75">
      <c r="AC492" s="8"/>
      <c r="AD492" s="8"/>
    </row>
    <row r="493" spans="29:30" ht="12.75">
      <c r="AC493" s="8"/>
      <c r="AD493" s="8"/>
    </row>
    <row r="494" spans="29:30" ht="12.75">
      <c r="AC494" s="8"/>
      <c r="AD494" s="8"/>
    </row>
    <row r="495" spans="29:30" ht="12.75">
      <c r="AC495" s="8"/>
      <c r="AD495" s="8"/>
    </row>
    <row r="496" spans="29:30" ht="12.75">
      <c r="AC496" s="8"/>
      <c r="AD496" s="8"/>
    </row>
    <row r="497" spans="29:30" ht="12.75">
      <c r="AC497" s="8"/>
      <c r="AD497" s="8"/>
    </row>
    <row r="498" spans="29:30" ht="12.75">
      <c r="AC498" s="8"/>
      <c r="AD498" s="8"/>
    </row>
    <row r="499" spans="29:30" ht="12.75">
      <c r="AC499" s="8"/>
      <c r="AD499" s="8"/>
    </row>
    <row r="500" spans="29:30" ht="12.75">
      <c r="AC500" s="8"/>
      <c r="AD500" s="8"/>
    </row>
    <row r="501" spans="29:30" ht="12.75">
      <c r="AC501" s="8"/>
      <c r="AD501" s="8"/>
    </row>
    <row r="502" spans="29:30" ht="12.75">
      <c r="AC502" s="8"/>
      <c r="AD502" s="8"/>
    </row>
    <row r="503" spans="29:30" ht="12.75">
      <c r="AC503" s="8"/>
      <c r="AD503" s="8"/>
    </row>
    <row r="504" spans="29:30" ht="12.75">
      <c r="AC504" s="8"/>
      <c r="AD504" s="8"/>
    </row>
    <row r="505" spans="29:30" ht="12.75">
      <c r="AC505" s="8"/>
      <c r="AD505" s="8"/>
    </row>
    <row r="506" spans="29:30" ht="12.75">
      <c r="AC506" s="8"/>
      <c r="AD506" s="8"/>
    </row>
    <row r="507" spans="29:30" ht="12.75">
      <c r="AC507" s="8"/>
      <c r="AD507" s="8"/>
    </row>
    <row r="508" spans="29:30" ht="12.75">
      <c r="AC508" s="8"/>
      <c r="AD508" s="8"/>
    </row>
    <row r="509" spans="29:30" ht="12.75">
      <c r="AC509" s="8"/>
      <c r="AD509" s="8"/>
    </row>
    <row r="510" spans="29:30" ht="12.75">
      <c r="AC510" s="8"/>
      <c r="AD510" s="8"/>
    </row>
    <row r="511" spans="29:30" ht="12.75">
      <c r="AC511" s="8"/>
      <c r="AD511" s="8"/>
    </row>
    <row r="512" spans="29:30" ht="12.75">
      <c r="AC512" s="8"/>
      <c r="AD512" s="8"/>
    </row>
    <row r="513" spans="29:30" ht="12.75">
      <c r="AC513" s="8"/>
      <c r="AD513" s="8"/>
    </row>
    <row r="514" spans="29:30" ht="12.75">
      <c r="AC514" s="8"/>
      <c r="AD514" s="8"/>
    </row>
    <row r="515" spans="29:30" ht="12.75">
      <c r="AC515" s="8"/>
      <c r="AD515" s="8"/>
    </row>
    <row r="516" spans="29:30" ht="12.75">
      <c r="AC516" s="8"/>
      <c r="AD516" s="8"/>
    </row>
    <row r="517" spans="29:30" ht="12.75">
      <c r="AC517" s="8"/>
      <c r="AD517" s="8"/>
    </row>
    <row r="518" spans="29:30" ht="12.75">
      <c r="AC518" s="8"/>
      <c r="AD518" s="8"/>
    </row>
    <row r="519" spans="29:30" ht="12.75">
      <c r="AC519" s="8"/>
      <c r="AD519" s="8"/>
    </row>
    <row r="520" spans="29:30" ht="12.75">
      <c r="AC520" s="8"/>
      <c r="AD520" s="8"/>
    </row>
    <row r="521" spans="29:30" ht="12.75">
      <c r="AC521" s="8"/>
      <c r="AD521" s="8"/>
    </row>
    <row r="522" spans="29:30" ht="12.75">
      <c r="AC522" s="8"/>
      <c r="AD522" s="8"/>
    </row>
    <row r="523" spans="29:30" ht="12.75">
      <c r="AC523" s="8"/>
      <c r="AD523" s="8"/>
    </row>
    <row r="524" spans="29:30" ht="12.75">
      <c r="AC524" s="8"/>
      <c r="AD524" s="8"/>
    </row>
    <row r="525" spans="29:30" ht="12.75">
      <c r="AC525" s="8"/>
      <c r="AD525" s="8"/>
    </row>
    <row r="526" spans="29:30" ht="12.75">
      <c r="AC526" s="8"/>
      <c r="AD526" s="8"/>
    </row>
    <row r="527" spans="29:30" ht="12.75">
      <c r="AC527" s="8"/>
      <c r="AD527" s="8"/>
    </row>
    <row r="528" spans="29:30" ht="12.75">
      <c r="AC528" s="8"/>
      <c r="AD528" s="8"/>
    </row>
    <row r="529" spans="29:30" ht="12.75">
      <c r="AC529" s="8"/>
      <c r="AD529" s="8"/>
    </row>
    <row r="530" spans="29:30" ht="12.75">
      <c r="AC530" s="8"/>
      <c r="AD530" s="8"/>
    </row>
    <row r="531" spans="29:30" ht="12.75">
      <c r="AC531" s="8"/>
      <c r="AD531" s="8"/>
    </row>
    <row r="532" spans="29:30" ht="12.75">
      <c r="AC532" s="8"/>
      <c r="AD532" s="8"/>
    </row>
    <row r="533" spans="29:30" ht="12.75">
      <c r="AC533" s="8"/>
      <c r="AD533" s="8"/>
    </row>
    <row r="534" spans="29:30" ht="12.75">
      <c r="AC534" s="8"/>
      <c r="AD534" s="8"/>
    </row>
    <row r="535" spans="29:30" ht="12.75">
      <c r="AC535" s="8"/>
      <c r="AD535" s="8"/>
    </row>
    <row r="536" spans="29:30" ht="12.75">
      <c r="AC536" s="8"/>
      <c r="AD536" s="8"/>
    </row>
    <row r="537" spans="29:30" ht="12.75">
      <c r="AC537" s="8"/>
      <c r="AD537" s="8"/>
    </row>
    <row r="538" spans="29:30" ht="12.75">
      <c r="AC538" s="8"/>
      <c r="AD538" s="8"/>
    </row>
    <row r="539" spans="29:30" ht="12.75">
      <c r="AC539" s="8"/>
      <c r="AD539" s="8"/>
    </row>
    <row r="540" spans="29:30" ht="12.75">
      <c r="AC540" s="8"/>
      <c r="AD540" s="8"/>
    </row>
    <row r="541" spans="29:30" ht="12.75">
      <c r="AC541" s="8"/>
      <c r="AD541" s="8"/>
    </row>
    <row r="542" spans="29:30" ht="12.75">
      <c r="AC542" s="8"/>
      <c r="AD542" s="8"/>
    </row>
    <row r="543" spans="29:30" ht="12.75">
      <c r="AC543" s="8"/>
      <c r="AD543" s="8"/>
    </row>
    <row r="544" spans="29:30" ht="12.75">
      <c r="AC544" s="8"/>
      <c r="AD544" s="8"/>
    </row>
    <row r="545" spans="29:30" ht="12.75">
      <c r="AC545" s="8"/>
      <c r="AD545" s="8"/>
    </row>
    <row r="546" spans="29:30" ht="12.75">
      <c r="AC546" s="8"/>
      <c r="AD546" s="8"/>
    </row>
    <row r="547" spans="29:30" ht="12.75">
      <c r="AC547" s="8"/>
      <c r="AD547" s="8"/>
    </row>
    <row r="548" spans="29:30" ht="12.75">
      <c r="AC548" s="8"/>
      <c r="AD548" s="8"/>
    </row>
    <row r="549" spans="29:30" ht="12.75">
      <c r="AC549" s="8"/>
      <c r="AD549" s="8"/>
    </row>
    <row r="550" spans="29:30" ht="12.75">
      <c r="AC550" s="8"/>
      <c r="AD550" s="8"/>
    </row>
    <row r="551" spans="29:30" ht="12.75">
      <c r="AC551" s="8"/>
      <c r="AD551" s="8"/>
    </row>
    <row r="552" spans="29:30" ht="12.75">
      <c r="AC552" s="8"/>
      <c r="AD552" s="8"/>
    </row>
    <row r="553" spans="29:30" ht="12.75">
      <c r="AC553" s="8"/>
      <c r="AD553" s="8"/>
    </row>
    <row r="554" spans="29:30" ht="12.75">
      <c r="AC554" s="8"/>
      <c r="AD554" s="8"/>
    </row>
    <row r="555" spans="29:30" ht="12.75">
      <c r="AC555" s="8"/>
      <c r="AD555" s="8"/>
    </row>
    <row r="556" spans="29:30" ht="12.75">
      <c r="AC556" s="8"/>
      <c r="AD556" s="8"/>
    </row>
    <row r="557" spans="29:30" ht="12.75">
      <c r="AC557" s="8"/>
      <c r="AD557" s="8"/>
    </row>
    <row r="558" spans="29:30" ht="12.75">
      <c r="AC558" s="8"/>
      <c r="AD558" s="8"/>
    </row>
    <row r="559" spans="29:30" ht="12.75">
      <c r="AC559" s="8"/>
      <c r="AD559" s="8"/>
    </row>
    <row r="560" spans="29:30" ht="12.75">
      <c r="AC560" s="8"/>
      <c r="AD560" s="8"/>
    </row>
    <row r="561" spans="29:30" ht="12.75">
      <c r="AC561" s="8"/>
      <c r="AD561" s="8"/>
    </row>
    <row r="562" spans="29:30" ht="12.75">
      <c r="AC562" s="8"/>
      <c r="AD562" s="8"/>
    </row>
    <row r="563" spans="29:30" ht="12.75">
      <c r="AC563" s="8"/>
      <c r="AD563" s="8"/>
    </row>
    <row r="564" spans="29:30" ht="12.75">
      <c r="AC564" s="8"/>
      <c r="AD564" s="8"/>
    </row>
    <row r="565" spans="29:30" ht="12.75">
      <c r="AC565" s="8"/>
      <c r="AD565" s="8"/>
    </row>
    <row r="566" spans="29:30" ht="12.75">
      <c r="AC566" s="8"/>
      <c r="AD566" s="8"/>
    </row>
    <row r="567" spans="29:30" ht="12.75">
      <c r="AC567" s="8"/>
      <c r="AD567" s="8"/>
    </row>
    <row r="568" spans="29:30" ht="12.75">
      <c r="AC568" s="8"/>
      <c r="AD568" s="8"/>
    </row>
    <row r="569" spans="29:30" ht="12.75">
      <c r="AC569" s="8"/>
      <c r="AD569" s="8"/>
    </row>
    <row r="570" spans="29:30" ht="12.75">
      <c r="AC570" s="8"/>
      <c r="AD570" s="8"/>
    </row>
    <row r="571" spans="29:30" ht="12.75">
      <c r="AC571" s="8"/>
      <c r="AD571" s="8"/>
    </row>
    <row r="572" spans="29:30" ht="12.75">
      <c r="AC572" s="8"/>
      <c r="AD572" s="8"/>
    </row>
    <row r="573" spans="29:30" ht="12.75">
      <c r="AC573" s="8"/>
      <c r="AD573" s="8"/>
    </row>
    <row r="574" spans="29:30" ht="12.75">
      <c r="AC574" s="8"/>
      <c r="AD574" s="8"/>
    </row>
    <row r="575" spans="29:30" ht="12.75">
      <c r="AC575" s="8"/>
      <c r="AD575" s="8"/>
    </row>
    <row r="576" spans="29:30" ht="12.75">
      <c r="AC576" s="8"/>
      <c r="AD576" s="8"/>
    </row>
    <row r="577" spans="29:30" ht="12.75">
      <c r="AC577" s="8"/>
      <c r="AD577" s="8"/>
    </row>
    <row r="578" spans="29:30" ht="12.75">
      <c r="AC578" s="8"/>
      <c r="AD578" s="8"/>
    </row>
    <row r="579" spans="29:30" ht="12.75">
      <c r="AC579" s="8"/>
      <c r="AD579" s="8"/>
    </row>
    <row r="580" spans="29:30" ht="12.75">
      <c r="AC580" s="8"/>
      <c r="AD580" s="8"/>
    </row>
    <row r="581" spans="29:30" ht="12.75">
      <c r="AC581" s="8"/>
      <c r="AD581" s="8"/>
    </row>
    <row r="582" spans="29:30" ht="12.75">
      <c r="AC582" s="8"/>
      <c r="AD582" s="8"/>
    </row>
    <row r="583" spans="29:30" ht="12.75">
      <c r="AC583" s="8"/>
      <c r="AD583" s="8"/>
    </row>
    <row r="584" spans="29:30" ht="12.75">
      <c r="AC584" s="8"/>
      <c r="AD584" s="8"/>
    </row>
    <row r="585" spans="29:30" ht="12.75">
      <c r="AC585" s="8"/>
      <c r="AD585" s="8"/>
    </row>
    <row r="586" spans="29:30" ht="12.75">
      <c r="AC586" s="8"/>
      <c r="AD586" s="8"/>
    </row>
    <row r="587" spans="29:30" ht="12.75">
      <c r="AC587" s="8"/>
      <c r="AD587" s="8"/>
    </row>
    <row r="588" spans="29:30" ht="12.75">
      <c r="AC588" s="8"/>
      <c r="AD588" s="8"/>
    </row>
    <row r="589" spans="29:30" ht="12.75">
      <c r="AC589" s="8"/>
      <c r="AD589" s="8"/>
    </row>
    <row r="590" spans="29:30" ht="12.75">
      <c r="AC590" s="8"/>
      <c r="AD590" s="8"/>
    </row>
    <row r="591" spans="29:30" ht="12.75">
      <c r="AC591" s="8"/>
      <c r="AD591" s="8"/>
    </row>
    <row r="592" spans="29:30" ht="12.75">
      <c r="AC592" s="8"/>
      <c r="AD592" s="8"/>
    </row>
    <row r="593" spans="29:30" ht="12.75">
      <c r="AC593" s="8"/>
      <c r="AD593" s="8"/>
    </row>
    <row r="594" spans="29:30" ht="12.75">
      <c r="AC594" s="8"/>
      <c r="AD594" s="8"/>
    </row>
    <row r="595" spans="29:30" ht="12.75">
      <c r="AC595" s="8"/>
      <c r="AD595" s="8"/>
    </row>
    <row r="596" spans="29:30" ht="12.75">
      <c r="AC596" s="8"/>
      <c r="AD596" s="8"/>
    </row>
    <row r="597" spans="29:30" ht="12.75">
      <c r="AC597" s="8"/>
      <c r="AD597" s="8"/>
    </row>
    <row r="598" spans="29:30" ht="12.75">
      <c r="AC598" s="8"/>
      <c r="AD598" s="8"/>
    </row>
    <row r="599" spans="29:30" ht="12.75">
      <c r="AC599" s="8"/>
      <c r="AD599" s="8"/>
    </row>
    <row r="600" spans="29:30" ht="12.75">
      <c r="AC600" s="8"/>
      <c r="AD600" s="8"/>
    </row>
    <row r="601" spans="29:30" ht="12.75">
      <c r="AC601" s="8"/>
      <c r="AD601" s="8"/>
    </row>
    <row r="602" spans="29:30" ht="12.75">
      <c r="AC602" s="8"/>
      <c r="AD602" s="8"/>
    </row>
    <row r="603" spans="29:30" ht="12.75">
      <c r="AC603" s="8"/>
      <c r="AD603" s="8"/>
    </row>
    <row r="604" spans="29:30" ht="12.75">
      <c r="AC604" s="8"/>
      <c r="AD604" s="8"/>
    </row>
    <row r="605" spans="29:30" ht="12.75">
      <c r="AC605" s="8"/>
      <c r="AD605" s="8"/>
    </row>
    <row r="606" spans="29:30" ht="12.75">
      <c r="AC606" s="8"/>
      <c r="AD606" s="8"/>
    </row>
    <row r="607" spans="29:30" ht="12.75">
      <c r="AC607" s="8"/>
      <c r="AD607" s="8"/>
    </row>
    <row r="608" spans="29:30" ht="12.75">
      <c r="AC608" s="8"/>
      <c r="AD608" s="8"/>
    </row>
    <row r="609" spans="29:30" ht="12.75">
      <c r="AC609" s="8"/>
      <c r="AD609" s="8"/>
    </row>
    <row r="610" spans="29:30" ht="12.75">
      <c r="AC610" s="8"/>
      <c r="AD610" s="8"/>
    </row>
    <row r="611" spans="29:30" ht="12.75">
      <c r="AC611" s="8"/>
      <c r="AD611" s="8"/>
    </row>
    <row r="612" spans="29:30" ht="12.75">
      <c r="AC612" s="8"/>
      <c r="AD612" s="8"/>
    </row>
    <row r="613" spans="29:30" ht="12.75">
      <c r="AC613" s="8"/>
      <c r="AD613" s="8"/>
    </row>
    <row r="614" spans="29:30" ht="12.75">
      <c r="AC614" s="8"/>
      <c r="AD614" s="8"/>
    </row>
    <row r="615" spans="29:30" ht="12.75">
      <c r="AC615" s="8"/>
      <c r="AD615" s="8"/>
    </row>
    <row r="616" spans="29:30" ht="12.75">
      <c r="AC616" s="8"/>
      <c r="AD616" s="8"/>
    </row>
    <row r="617" spans="29:30" ht="12.75">
      <c r="AC617" s="8"/>
      <c r="AD617" s="8"/>
    </row>
    <row r="618" spans="29:30" ht="12.75">
      <c r="AC618" s="8"/>
      <c r="AD618" s="8"/>
    </row>
    <row r="619" spans="29:30" ht="12.75">
      <c r="AC619" s="8"/>
      <c r="AD619" s="8"/>
    </row>
    <row r="620" spans="29:30" ht="12.75">
      <c r="AC620" s="8"/>
      <c r="AD620" s="8"/>
    </row>
    <row r="621" spans="29:30" ht="12.75">
      <c r="AC621" s="8"/>
      <c r="AD621" s="8"/>
    </row>
    <row r="622" spans="29:30" ht="12.75">
      <c r="AC622" s="8"/>
      <c r="AD622" s="8"/>
    </row>
    <row r="623" spans="29:30" ht="12.75">
      <c r="AC623" s="8"/>
      <c r="AD623" s="8"/>
    </row>
    <row r="624" spans="29:30" ht="12.75">
      <c r="AC624" s="8"/>
      <c r="AD624" s="8"/>
    </row>
    <row r="625" spans="29:30" ht="12.75">
      <c r="AC625" s="8"/>
      <c r="AD625" s="8"/>
    </row>
    <row r="626" spans="29:30" ht="12.75">
      <c r="AC626" s="8"/>
      <c r="AD626" s="8"/>
    </row>
    <row r="627" spans="29:30" ht="12.75">
      <c r="AC627" s="8"/>
      <c r="AD627" s="8"/>
    </row>
    <row r="628" spans="29:30" ht="12.75">
      <c r="AC628" s="8"/>
      <c r="AD628" s="8"/>
    </row>
    <row r="629" spans="29:30" ht="12.75">
      <c r="AC629" s="8"/>
      <c r="AD629" s="8"/>
    </row>
    <row r="630" spans="29:30" ht="12.75">
      <c r="AC630" s="8"/>
      <c r="AD630" s="8"/>
    </row>
    <row r="631" spans="29:30" ht="12.75">
      <c r="AC631" s="8"/>
      <c r="AD631" s="8"/>
    </row>
    <row r="632" spans="29:30" ht="12.75">
      <c r="AC632" s="8"/>
      <c r="AD632" s="8"/>
    </row>
    <row r="633" spans="29:30" ht="12.75">
      <c r="AC633" s="8"/>
      <c r="AD633" s="8"/>
    </row>
    <row r="634" spans="29:30" ht="12.75">
      <c r="AC634" s="8"/>
      <c r="AD634" s="8"/>
    </row>
    <row r="635" spans="29:30" ht="12.75">
      <c r="AC635" s="8"/>
      <c r="AD635" s="8"/>
    </row>
    <row r="636" spans="29:30" ht="12.75">
      <c r="AC636" s="8"/>
      <c r="AD636" s="8"/>
    </row>
    <row r="637" spans="29:30" ht="12.75">
      <c r="AC637" s="8"/>
      <c r="AD637" s="8"/>
    </row>
    <row r="638" spans="29:30" ht="12.75">
      <c r="AC638" s="8"/>
      <c r="AD638" s="8"/>
    </row>
    <row r="639" spans="29:30" ht="12.75">
      <c r="AC639" s="8"/>
      <c r="AD639" s="8"/>
    </row>
    <row r="640" spans="29:30" ht="12.75">
      <c r="AC640" s="8"/>
      <c r="AD640" s="8"/>
    </row>
    <row r="641" spans="29:30" ht="12.75">
      <c r="AC641" s="8"/>
      <c r="AD641" s="8"/>
    </row>
    <row r="642" spans="29:30" ht="12.75">
      <c r="AC642" s="8"/>
      <c r="AD642" s="8"/>
    </row>
    <row r="643" spans="29:30" ht="12.75">
      <c r="AC643" s="8"/>
      <c r="AD643" s="8"/>
    </row>
    <row r="644" spans="29:30" ht="12.75">
      <c r="AC644" s="8"/>
      <c r="AD644" s="8"/>
    </row>
    <row r="645" spans="29:30" ht="12.75">
      <c r="AC645" s="8"/>
      <c r="AD645" s="8"/>
    </row>
    <row r="646" spans="29:30" ht="12.75">
      <c r="AC646" s="8"/>
      <c r="AD646" s="8"/>
    </row>
    <row r="647" spans="29:30" ht="12.75">
      <c r="AC647" s="8"/>
      <c r="AD647" s="8"/>
    </row>
    <row r="648" spans="29:30" ht="12.75">
      <c r="AC648" s="8"/>
      <c r="AD648" s="8"/>
    </row>
    <row r="649" spans="29:30" ht="12.75">
      <c r="AC649" s="8"/>
      <c r="AD649" s="8"/>
    </row>
    <row r="650" spans="29:30" ht="12.75">
      <c r="AC650" s="8"/>
      <c r="AD650" s="8"/>
    </row>
    <row r="651" spans="29:30" ht="12.75">
      <c r="AC651" s="8"/>
      <c r="AD651" s="8"/>
    </row>
    <row r="652" spans="29:30" ht="12.75">
      <c r="AC652" s="8"/>
      <c r="AD652" s="8"/>
    </row>
    <row r="653" spans="29:30" ht="12.75">
      <c r="AC653" s="8"/>
      <c r="AD653" s="8"/>
    </row>
    <row r="654" spans="29:30" ht="12.75">
      <c r="AC654" s="8"/>
      <c r="AD654" s="8"/>
    </row>
    <row r="655" spans="29:30" ht="12.75">
      <c r="AC655" s="8"/>
      <c r="AD655" s="8"/>
    </row>
    <row r="656" spans="29:30" ht="12.75">
      <c r="AC656" s="8"/>
      <c r="AD656" s="8"/>
    </row>
    <row r="657" spans="29:30" ht="12.75">
      <c r="AC657" s="8"/>
      <c r="AD657" s="8"/>
    </row>
    <row r="658" spans="29:30" ht="12.75">
      <c r="AC658" s="8"/>
      <c r="AD658" s="8"/>
    </row>
    <row r="659" spans="29:30" ht="12.75">
      <c r="AC659" s="8"/>
      <c r="AD659" s="8"/>
    </row>
    <row r="660" spans="29:30" ht="12.75">
      <c r="AC660" s="8"/>
      <c r="AD660" s="8"/>
    </row>
    <row r="661" spans="29:30" ht="12.75">
      <c r="AC661" s="8"/>
      <c r="AD661" s="8"/>
    </row>
    <row r="662" spans="29:30" ht="12.75">
      <c r="AC662" s="8"/>
      <c r="AD662" s="8"/>
    </row>
    <row r="663" spans="29:30" ht="12.75">
      <c r="AC663" s="8"/>
      <c r="AD663" s="8"/>
    </row>
    <row r="664" spans="29:30" ht="12.75">
      <c r="AC664" s="8"/>
      <c r="AD664" s="8"/>
    </row>
    <row r="665" spans="29:30" ht="12.75">
      <c r="AC665" s="8"/>
      <c r="AD665" s="8"/>
    </row>
    <row r="666" spans="29:30" ht="12.75">
      <c r="AC666" s="8"/>
      <c r="AD666" s="8"/>
    </row>
    <row r="667" spans="29:30" ht="12.75">
      <c r="AC667" s="8"/>
      <c r="AD667" s="8"/>
    </row>
    <row r="668" spans="29:30" ht="12.75">
      <c r="AC668" s="8"/>
      <c r="AD668" s="8"/>
    </row>
    <row r="669" spans="29:30" ht="12.75">
      <c r="AC669" s="8"/>
      <c r="AD669" s="8"/>
    </row>
    <row r="670" spans="29:30" ht="12.75">
      <c r="AC670" s="8"/>
      <c r="AD670" s="8"/>
    </row>
    <row r="671" spans="29:30" ht="12.75">
      <c r="AC671" s="8"/>
      <c r="AD671" s="8"/>
    </row>
    <row r="672" spans="29:30" ht="12.75">
      <c r="AC672" s="8"/>
      <c r="AD672" s="8"/>
    </row>
    <row r="673" spans="29:30" ht="12.75">
      <c r="AC673" s="8"/>
      <c r="AD673" s="8"/>
    </row>
    <row r="674" spans="29:30" ht="12.75">
      <c r="AC674" s="8"/>
      <c r="AD674" s="8"/>
    </row>
    <row r="675" spans="29:30" ht="12.75">
      <c r="AC675" s="8"/>
      <c r="AD675" s="8"/>
    </row>
    <row r="676" spans="29:30" ht="12.75">
      <c r="AC676" s="8"/>
      <c r="AD676" s="8"/>
    </row>
    <row r="677" spans="29:30" ht="12.75">
      <c r="AC677" s="8"/>
      <c r="AD677" s="8"/>
    </row>
    <row r="678" spans="29:30" ht="12.75">
      <c r="AC678" s="8"/>
      <c r="AD678" s="8"/>
    </row>
    <row r="679" spans="29:30" ht="12.75">
      <c r="AC679" s="8"/>
      <c r="AD679" s="8"/>
    </row>
    <row r="680" spans="29:30" ht="12.75">
      <c r="AC680" s="8"/>
      <c r="AD680" s="8"/>
    </row>
    <row r="681" spans="29:30" ht="12.75">
      <c r="AC681" s="8"/>
      <c r="AD681" s="8"/>
    </row>
    <row r="682" spans="29:30" ht="12.75">
      <c r="AC682" s="8"/>
      <c r="AD682" s="8"/>
    </row>
    <row r="683" spans="29:30" ht="12.75">
      <c r="AC683" s="8"/>
      <c r="AD683" s="8"/>
    </row>
    <row r="684" spans="29:30" ht="12.75">
      <c r="AC684" s="8"/>
      <c r="AD684" s="8"/>
    </row>
    <row r="685" spans="29:30" ht="12.75">
      <c r="AC685" s="8"/>
      <c r="AD685" s="8"/>
    </row>
    <row r="686" spans="29:30" ht="12.75">
      <c r="AC686" s="8"/>
      <c r="AD686" s="8"/>
    </row>
    <row r="687" spans="29:30" ht="12.75">
      <c r="AC687" s="8"/>
      <c r="AD687" s="8"/>
    </row>
    <row r="688" spans="29:30" ht="12.75">
      <c r="AC688" s="8"/>
      <c r="AD688" s="8"/>
    </row>
    <row r="689" spans="29:30" ht="12.75">
      <c r="AC689" s="8"/>
      <c r="AD689" s="8"/>
    </row>
    <row r="690" spans="29:30" ht="12.75">
      <c r="AC690" s="8"/>
      <c r="AD690" s="8"/>
    </row>
    <row r="691" spans="29:30" ht="12.75">
      <c r="AC691" s="8"/>
      <c r="AD691" s="8"/>
    </row>
    <row r="692" spans="29:30" ht="12.75">
      <c r="AC692" s="8"/>
      <c r="AD692" s="8"/>
    </row>
    <row r="693" spans="29:30" ht="12.75">
      <c r="AC693" s="8"/>
      <c r="AD693" s="8"/>
    </row>
    <row r="694" spans="29:30" ht="12.75">
      <c r="AC694" s="8"/>
      <c r="AD694" s="8"/>
    </row>
    <row r="695" spans="29:30" ht="12.75">
      <c r="AC695" s="8"/>
      <c r="AD695" s="8"/>
    </row>
    <row r="696" spans="29:30" ht="12.75">
      <c r="AC696" s="8"/>
      <c r="AD696" s="8"/>
    </row>
    <row r="697" spans="29:30" ht="12.75">
      <c r="AC697" s="8"/>
      <c r="AD697" s="8"/>
    </row>
    <row r="698" spans="29:30" ht="12.75">
      <c r="AC698" s="8"/>
      <c r="AD698" s="8"/>
    </row>
    <row r="699" spans="29:30" ht="12.75">
      <c r="AC699" s="8"/>
      <c r="AD699" s="8"/>
    </row>
    <row r="700" spans="29:30" ht="12.75">
      <c r="AC700" s="8"/>
      <c r="AD700" s="8"/>
    </row>
    <row r="701" spans="29:30" ht="12.75">
      <c r="AC701" s="8"/>
      <c r="AD701" s="8"/>
    </row>
    <row r="702" spans="29:30" ht="12.75">
      <c r="AC702" s="8"/>
      <c r="AD702" s="8"/>
    </row>
    <row r="703" spans="29:30" ht="12.75">
      <c r="AC703" s="8"/>
      <c r="AD703" s="8"/>
    </row>
    <row r="704" spans="29:30" ht="12.75">
      <c r="AC704" s="8"/>
      <c r="AD704" s="8"/>
    </row>
    <row r="705" spans="29:30" ht="12.75">
      <c r="AC705" s="8"/>
      <c r="AD705" s="8"/>
    </row>
    <row r="706" spans="29:30" ht="12.75">
      <c r="AC706" s="8"/>
      <c r="AD706" s="8"/>
    </row>
    <row r="707" spans="29:30" ht="12.75">
      <c r="AC707" s="8"/>
      <c r="AD707" s="8"/>
    </row>
    <row r="708" spans="29:30" ht="12.75">
      <c r="AC708" s="8"/>
      <c r="AD708" s="8"/>
    </row>
    <row r="709" spans="29:30" ht="12.75">
      <c r="AC709" s="8"/>
      <c r="AD709" s="8"/>
    </row>
    <row r="710" spans="29:30" ht="12.75">
      <c r="AC710" s="8"/>
      <c r="AD710" s="8"/>
    </row>
    <row r="711" spans="29:30" ht="12.75">
      <c r="AC711" s="8"/>
      <c r="AD711" s="8"/>
    </row>
    <row r="712" spans="29:30" ht="12.75">
      <c r="AC712" s="8"/>
      <c r="AD712" s="8"/>
    </row>
    <row r="713" spans="29:30" ht="12.75">
      <c r="AC713" s="8"/>
      <c r="AD713" s="8"/>
    </row>
    <row r="714" spans="29:30" ht="12.75">
      <c r="AC714" s="8"/>
      <c r="AD714" s="8"/>
    </row>
    <row r="715" spans="29:30" ht="12.75">
      <c r="AC715" s="8"/>
      <c r="AD715" s="8"/>
    </row>
    <row r="716" spans="29:30" ht="12.75">
      <c r="AC716" s="8"/>
      <c r="AD716" s="8"/>
    </row>
    <row r="717" spans="29:30" ht="12.75">
      <c r="AC717" s="8"/>
      <c r="AD717" s="8"/>
    </row>
    <row r="718" spans="29:30" ht="12.75">
      <c r="AC718" s="8"/>
      <c r="AD718" s="8"/>
    </row>
    <row r="719" spans="29:30" ht="12.75">
      <c r="AC719" s="8"/>
      <c r="AD719" s="8"/>
    </row>
    <row r="720" spans="29:30" ht="12.75">
      <c r="AC720" s="8"/>
      <c r="AD720" s="8"/>
    </row>
    <row r="721" spans="29:30" ht="12.75">
      <c r="AC721" s="8"/>
      <c r="AD721" s="8"/>
    </row>
    <row r="722" spans="29:30" ht="12.75">
      <c r="AC722" s="8"/>
      <c r="AD722" s="8"/>
    </row>
    <row r="723" spans="29:30" ht="12.75">
      <c r="AC723" s="8"/>
      <c r="AD723" s="8"/>
    </row>
    <row r="724" spans="29:30" ht="12.75">
      <c r="AC724" s="8"/>
      <c r="AD724" s="8"/>
    </row>
    <row r="725" spans="29:30" ht="12.75">
      <c r="AC725" s="8"/>
      <c r="AD725" s="8"/>
    </row>
    <row r="726" spans="29:30" ht="12.75">
      <c r="AC726" s="8"/>
      <c r="AD726" s="8"/>
    </row>
    <row r="727" spans="29:30" ht="12.75">
      <c r="AC727" s="8"/>
      <c r="AD727" s="8"/>
    </row>
    <row r="728" spans="29:30" ht="12.75">
      <c r="AC728" s="8"/>
      <c r="AD728" s="8"/>
    </row>
    <row r="729" spans="29:30" ht="12.75">
      <c r="AC729" s="8"/>
      <c r="AD729" s="8"/>
    </row>
    <row r="730" spans="29:30" ht="12.75">
      <c r="AC730" s="8"/>
      <c r="AD730" s="8"/>
    </row>
    <row r="731" spans="29:30" ht="12.75">
      <c r="AC731" s="8"/>
      <c r="AD731" s="8"/>
    </row>
    <row r="732" spans="29:30" ht="12.75">
      <c r="AC732" s="8"/>
      <c r="AD732" s="8"/>
    </row>
    <row r="733" spans="29:30" ht="12.75">
      <c r="AC733" s="8"/>
      <c r="AD733" s="8"/>
    </row>
    <row r="734" spans="29:30" ht="12.75">
      <c r="AC734" s="8"/>
      <c r="AD734" s="8"/>
    </row>
    <row r="735" spans="29:30" ht="12.75">
      <c r="AC735" s="8"/>
      <c r="AD735" s="8"/>
    </row>
    <row r="736" spans="29:30" ht="12.75">
      <c r="AC736" s="8"/>
      <c r="AD736" s="8"/>
    </row>
    <row r="737" spans="29:30" ht="12.75">
      <c r="AC737" s="8"/>
      <c r="AD737" s="8"/>
    </row>
    <row r="738" spans="29:30" ht="12.75">
      <c r="AC738" s="8"/>
      <c r="AD738" s="8"/>
    </row>
    <row r="739" spans="29:30" ht="12.75">
      <c r="AC739" s="8"/>
      <c r="AD739" s="8"/>
    </row>
    <row r="740" spans="29:30" ht="12.75">
      <c r="AC740" s="8"/>
      <c r="AD740" s="8"/>
    </row>
    <row r="741" spans="29:30" ht="12.75">
      <c r="AC741" s="8"/>
      <c r="AD741" s="8"/>
    </row>
    <row r="742" spans="29:30" ht="12.75">
      <c r="AC742" s="8"/>
      <c r="AD742" s="8"/>
    </row>
    <row r="743" spans="29:30" ht="12.75">
      <c r="AC743" s="8"/>
      <c r="AD743" s="8"/>
    </row>
    <row r="744" spans="29:30" ht="12.75">
      <c r="AC744" s="8"/>
      <c r="AD744" s="8"/>
    </row>
    <row r="745" spans="29:30" ht="12.75">
      <c r="AC745" s="8"/>
      <c r="AD745" s="8"/>
    </row>
    <row r="746" spans="29:30" ht="12.75">
      <c r="AC746" s="8"/>
      <c r="AD746" s="8"/>
    </row>
    <row r="747" spans="29:30" ht="12.75">
      <c r="AC747" s="8"/>
      <c r="AD747" s="8"/>
    </row>
    <row r="748" spans="29:30" ht="12.75">
      <c r="AC748" s="8"/>
      <c r="AD748" s="8"/>
    </row>
    <row r="749" spans="29:30" ht="12.75">
      <c r="AC749" s="8"/>
      <c r="AD749" s="8"/>
    </row>
    <row r="750" spans="29:30" ht="12.75">
      <c r="AC750" s="8"/>
      <c r="AD750" s="8"/>
    </row>
    <row r="751" spans="29:30" ht="12.75">
      <c r="AC751" s="8"/>
      <c r="AD751" s="8"/>
    </row>
    <row r="752" spans="29:30" ht="12.75">
      <c r="AC752" s="8"/>
      <c r="AD752" s="8"/>
    </row>
    <row r="753" spans="29:30" ht="12.75">
      <c r="AC753" s="8"/>
      <c r="AD753" s="8"/>
    </row>
    <row r="754" spans="29:30" ht="12.75">
      <c r="AC754" s="8"/>
      <c r="AD754" s="8"/>
    </row>
    <row r="755" spans="29:30" ht="12.75">
      <c r="AC755" s="8"/>
      <c r="AD755" s="8"/>
    </row>
    <row r="756" spans="29:30" ht="12.75">
      <c r="AC756" s="8"/>
      <c r="AD756" s="8"/>
    </row>
    <row r="757" spans="29:30" ht="12.75">
      <c r="AC757" s="8"/>
      <c r="AD757" s="8"/>
    </row>
    <row r="758" spans="29:30" ht="12.75">
      <c r="AC758" s="8"/>
      <c r="AD758" s="8"/>
    </row>
    <row r="759" spans="29:30" ht="12.75">
      <c r="AC759" s="8"/>
      <c r="AD759" s="8"/>
    </row>
    <row r="760" spans="29:30" ht="12.75">
      <c r="AC760" s="8"/>
      <c r="AD760" s="8"/>
    </row>
    <row r="761" spans="29:30" ht="12.75">
      <c r="AC761" s="8"/>
      <c r="AD761" s="8"/>
    </row>
    <row r="762" spans="29:30" ht="12.75">
      <c r="AC762" s="8"/>
      <c r="AD762" s="8"/>
    </row>
    <row r="763" spans="29:30" ht="12.75">
      <c r="AC763" s="8"/>
      <c r="AD763" s="8"/>
    </row>
    <row r="764" spans="29:30" ht="12.75">
      <c r="AC764" s="8"/>
      <c r="AD764" s="8"/>
    </row>
    <row r="765" spans="29:30" ht="12.75">
      <c r="AC765" s="8"/>
      <c r="AD765" s="8"/>
    </row>
    <row r="766" spans="29:30" ht="12.75">
      <c r="AC766" s="8"/>
      <c r="AD766" s="8"/>
    </row>
    <row r="767" spans="29:30" ht="12.75">
      <c r="AC767" s="8"/>
      <c r="AD767" s="8"/>
    </row>
    <row r="768" spans="29:30" ht="12.75">
      <c r="AC768" s="8"/>
      <c r="AD768" s="8"/>
    </row>
    <row r="769" spans="29:30" ht="12.75">
      <c r="AC769" s="8"/>
      <c r="AD769" s="8"/>
    </row>
    <row r="770" spans="29:30" ht="12.75">
      <c r="AC770" s="8"/>
      <c r="AD770" s="8"/>
    </row>
    <row r="771" spans="29:30" ht="12.75">
      <c r="AC771" s="8"/>
      <c r="AD771" s="8"/>
    </row>
    <row r="772" spans="29:30" ht="12.75">
      <c r="AC772" s="8"/>
      <c r="AD772" s="8"/>
    </row>
    <row r="773" spans="29:30" ht="12.75">
      <c r="AC773" s="8"/>
      <c r="AD773" s="8"/>
    </row>
    <row r="774" spans="29:30" ht="12.75">
      <c r="AC774" s="8"/>
      <c r="AD774" s="8"/>
    </row>
    <row r="775" spans="29:30" ht="12.75">
      <c r="AC775" s="8"/>
      <c r="AD775" s="8"/>
    </row>
    <row r="776" spans="29:30" ht="12.75">
      <c r="AC776" s="8"/>
      <c r="AD776" s="8"/>
    </row>
    <row r="777" spans="29:30" ht="12.75">
      <c r="AC777" s="8"/>
      <c r="AD777" s="8"/>
    </row>
    <row r="778" spans="29:30" ht="12.75">
      <c r="AC778" s="8"/>
      <c r="AD778" s="8"/>
    </row>
    <row r="779" spans="29:30" ht="12.75">
      <c r="AC779" s="8"/>
      <c r="AD779" s="8"/>
    </row>
    <row r="780" spans="29:30" ht="12.75">
      <c r="AC780" s="8"/>
      <c r="AD780" s="8"/>
    </row>
    <row r="781" spans="29:30" ht="12.75">
      <c r="AC781" s="8"/>
      <c r="AD781" s="8"/>
    </row>
    <row r="782" spans="29:30" ht="12.75">
      <c r="AC782" s="8"/>
      <c r="AD782" s="8"/>
    </row>
    <row r="783" spans="29:30" ht="12.75">
      <c r="AC783" s="8"/>
      <c r="AD783" s="8"/>
    </row>
    <row r="784" spans="29:30" ht="12.75">
      <c r="AC784" s="8"/>
      <c r="AD784" s="8"/>
    </row>
    <row r="785" spans="29:30" ht="12.75">
      <c r="AC785" s="8"/>
      <c r="AD785" s="8"/>
    </row>
    <row r="786" spans="29:30" ht="12.75">
      <c r="AC786" s="8"/>
      <c r="AD786" s="8"/>
    </row>
    <row r="787" spans="29:30" ht="12.75">
      <c r="AC787" s="8"/>
      <c r="AD787" s="8"/>
    </row>
    <row r="788" spans="29:30" ht="12.75">
      <c r="AC788" s="8"/>
      <c r="AD788" s="8"/>
    </row>
    <row r="789" spans="29:30" ht="12.75">
      <c r="AC789" s="8"/>
      <c r="AD789" s="8"/>
    </row>
    <row r="790" spans="29:30" ht="12.75">
      <c r="AC790" s="8"/>
      <c r="AD790" s="8"/>
    </row>
    <row r="791" spans="29:30" ht="12.75">
      <c r="AC791" s="8"/>
      <c r="AD791" s="8"/>
    </row>
    <row r="792" spans="29:30" ht="12.75">
      <c r="AC792" s="8"/>
      <c r="AD792" s="8"/>
    </row>
    <row r="793" spans="29:30" ht="12.75">
      <c r="AC793" s="8"/>
      <c r="AD793" s="8"/>
    </row>
    <row r="794" spans="29:30" ht="12.75">
      <c r="AC794" s="8"/>
      <c r="AD794" s="8"/>
    </row>
    <row r="795" spans="29:30" ht="12.75">
      <c r="AC795" s="8"/>
      <c r="AD795" s="8"/>
    </row>
    <row r="796" spans="29:30" ht="12.75">
      <c r="AC796" s="8"/>
      <c r="AD796" s="8"/>
    </row>
    <row r="797" spans="29:30" ht="12.75">
      <c r="AC797" s="8"/>
      <c r="AD797" s="8"/>
    </row>
    <row r="798" spans="29:30" ht="12.75">
      <c r="AC798" s="8"/>
      <c r="AD798" s="8"/>
    </row>
    <row r="799" spans="29:30" ht="12.75">
      <c r="AC799" s="8"/>
      <c r="AD799" s="8"/>
    </row>
    <row r="800" spans="29:30" ht="12.75">
      <c r="AC800" s="8"/>
      <c r="AD800" s="8"/>
    </row>
    <row r="801" spans="29:30" ht="12.75">
      <c r="AC801" s="8"/>
      <c r="AD801" s="8"/>
    </row>
    <row r="802" spans="29:30" ht="12.75">
      <c r="AC802" s="8"/>
      <c r="AD802" s="8"/>
    </row>
    <row r="803" spans="29:30" ht="12.75">
      <c r="AC803" s="8"/>
      <c r="AD803" s="8"/>
    </row>
    <row r="804" spans="29:30" ht="12.75">
      <c r="AC804" s="8"/>
      <c r="AD804" s="8"/>
    </row>
    <row r="805" spans="29:30" ht="12.75">
      <c r="AC805" s="8"/>
      <c r="AD805" s="8"/>
    </row>
    <row r="806" spans="29:30" ht="12.75">
      <c r="AC806" s="8"/>
      <c r="AD806" s="8"/>
    </row>
    <row r="807" spans="29:30" ht="12.75">
      <c r="AC807" s="8"/>
      <c r="AD807" s="8"/>
    </row>
    <row r="808" spans="29:30" ht="12.75">
      <c r="AC808" s="8"/>
      <c r="AD808" s="8"/>
    </row>
    <row r="809" spans="29:30" ht="12.75">
      <c r="AC809" s="8"/>
      <c r="AD809" s="8"/>
    </row>
    <row r="810" spans="29:30" ht="12.75">
      <c r="AC810" s="8"/>
      <c r="AD810" s="8"/>
    </row>
    <row r="811" spans="29:30" ht="12.75">
      <c r="AC811" s="8"/>
      <c r="AD811" s="8"/>
    </row>
    <row r="812" spans="29:30" ht="12.75">
      <c r="AC812" s="8"/>
      <c r="AD812" s="8"/>
    </row>
    <row r="813" spans="29:30" ht="12.75">
      <c r="AC813" s="8"/>
      <c r="AD813" s="8"/>
    </row>
    <row r="814" spans="29:30" ht="12.75">
      <c r="AC814" s="8"/>
      <c r="AD814" s="8"/>
    </row>
    <row r="815" spans="29:30" ht="12.75">
      <c r="AC815" s="8"/>
      <c r="AD815" s="8"/>
    </row>
    <row r="816" spans="29:30" ht="12.75">
      <c r="AC816" s="8"/>
      <c r="AD816" s="8"/>
    </row>
    <row r="817" spans="29:30" ht="12.75">
      <c r="AC817" s="8"/>
      <c r="AD817" s="8"/>
    </row>
    <row r="818" spans="29:30" ht="12.75">
      <c r="AC818" s="8"/>
      <c r="AD818" s="8"/>
    </row>
    <row r="819" spans="29:30" ht="12.75">
      <c r="AC819" s="8"/>
      <c r="AD819" s="8"/>
    </row>
    <row r="820" spans="29:30" ht="12.75">
      <c r="AC820" s="8"/>
      <c r="AD820" s="8"/>
    </row>
    <row r="821" spans="29:30" ht="12.75">
      <c r="AC821" s="8"/>
      <c r="AD821" s="8"/>
    </row>
    <row r="822" spans="29:30" ht="12.75">
      <c r="AC822" s="8"/>
      <c r="AD822" s="8"/>
    </row>
    <row r="823" spans="29:30" ht="12.75">
      <c r="AC823" s="8"/>
      <c r="AD823" s="8"/>
    </row>
    <row r="824" spans="29:30" ht="12.75">
      <c r="AC824" s="8"/>
      <c r="AD824" s="8"/>
    </row>
    <row r="825" spans="29:30" ht="12.75">
      <c r="AC825" s="8"/>
      <c r="AD825" s="8"/>
    </row>
    <row r="826" spans="29:30" ht="12.75">
      <c r="AC826" s="8"/>
      <c r="AD826" s="8"/>
    </row>
    <row r="827" spans="29:30" ht="12.75">
      <c r="AC827" s="8"/>
      <c r="AD827" s="8"/>
    </row>
    <row r="828" spans="29:30" ht="12.75">
      <c r="AC828" s="8"/>
      <c r="AD828" s="8"/>
    </row>
    <row r="829" spans="29:30" ht="12.75">
      <c r="AC829" s="8"/>
      <c r="AD829" s="8"/>
    </row>
    <row r="830" spans="29:30" ht="12.75">
      <c r="AC830" s="8"/>
      <c r="AD830" s="8"/>
    </row>
    <row r="831" spans="29:30" ht="12.75">
      <c r="AC831" s="8"/>
      <c r="AD831" s="8"/>
    </row>
    <row r="832" spans="29:30" ht="12.75">
      <c r="AC832" s="8"/>
      <c r="AD832" s="8"/>
    </row>
    <row r="833" spans="29:30" ht="12.75">
      <c r="AC833" s="8"/>
      <c r="AD833" s="8"/>
    </row>
    <row r="834" spans="29:30" ht="12.75">
      <c r="AC834" s="8"/>
      <c r="AD834" s="8"/>
    </row>
    <row r="835" spans="29:30" ht="12.75">
      <c r="AC835" s="8"/>
      <c r="AD835" s="8"/>
    </row>
    <row r="836" spans="29:30" ht="12.75">
      <c r="AC836" s="8"/>
      <c r="AD836" s="8"/>
    </row>
    <row r="837" spans="29:30" ht="12.75">
      <c r="AC837" s="8"/>
      <c r="AD837" s="8"/>
    </row>
    <row r="838" spans="29:30" ht="12.75">
      <c r="AC838" s="8"/>
      <c r="AD838" s="8"/>
    </row>
    <row r="839" spans="29:30" ht="12.75">
      <c r="AC839" s="8"/>
      <c r="AD839" s="8"/>
    </row>
    <row r="840" spans="29:30" ht="12.75">
      <c r="AC840" s="8"/>
      <c r="AD840" s="8"/>
    </row>
    <row r="841" spans="29:30" ht="12.75">
      <c r="AC841" s="8"/>
      <c r="AD841" s="8"/>
    </row>
    <row r="842" spans="29:30" ht="12.75">
      <c r="AC842" s="8"/>
      <c r="AD842" s="8"/>
    </row>
    <row r="843" spans="29:30" ht="12.75">
      <c r="AC843" s="8"/>
      <c r="AD843" s="8"/>
    </row>
    <row r="844" spans="29:30" ht="12.75">
      <c r="AC844" s="8"/>
      <c r="AD844" s="8"/>
    </row>
    <row r="845" spans="29:30" ht="12.75">
      <c r="AC845" s="8"/>
      <c r="AD845" s="8"/>
    </row>
    <row r="846" spans="29:30" ht="12.75">
      <c r="AC846" s="8"/>
      <c r="AD846" s="8"/>
    </row>
    <row r="847" spans="29:30" ht="12.75">
      <c r="AC847" s="8"/>
      <c r="AD847" s="8"/>
    </row>
    <row r="848" spans="29:30" ht="12.75">
      <c r="AC848" s="8"/>
      <c r="AD848" s="8"/>
    </row>
    <row r="849" spans="29:30" ht="12.75">
      <c r="AC849" s="8"/>
      <c r="AD849" s="8"/>
    </row>
    <row r="850" spans="29:30" ht="12.75">
      <c r="AC850" s="8"/>
      <c r="AD850" s="8"/>
    </row>
    <row r="851" spans="29:30" ht="12.75">
      <c r="AC851" s="8"/>
      <c r="AD851" s="8"/>
    </row>
    <row r="852" spans="29:30" ht="12.75">
      <c r="AC852" s="8"/>
      <c r="AD852" s="8"/>
    </row>
    <row r="853" spans="29:30" ht="12.75">
      <c r="AC853" s="8"/>
      <c r="AD853" s="8"/>
    </row>
    <row r="854" spans="29:30" ht="12.75">
      <c r="AC854" s="8"/>
      <c r="AD854" s="8"/>
    </row>
    <row r="855" spans="29:30" ht="12.75">
      <c r="AC855" s="8"/>
      <c r="AD855" s="8"/>
    </row>
    <row r="856" spans="29:30" ht="12.75">
      <c r="AC856" s="8"/>
      <c r="AD856" s="8"/>
    </row>
    <row r="857" spans="29:30" ht="12.75">
      <c r="AC857" s="8"/>
      <c r="AD857" s="8"/>
    </row>
    <row r="858" spans="29:30" ht="12.75">
      <c r="AC858" s="8"/>
      <c r="AD858" s="8"/>
    </row>
    <row r="859" spans="29:30" ht="12.75">
      <c r="AC859" s="8"/>
      <c r="AD859" s="8"/>
    </row>
    <row r="860" spans="29:30" ht="12.75">
      <c r="AC860" s="8"/>
      <c r="AD860" s="8"/>
    </row>
    <row r="861" spans="29:30" ht="12.75">
      <c r="AC861" s="8"/>
      <c r="AD861" s="8"/>
    </row>
    <row r="862" spans="29:30" ht="12.75">
      <c r="AC862" s="8"/>
      <c r="AD862" s="8"/>
    </row>
    <row r="863" spans="29:30" ht="12.75">
      <c r="AC863" s="8"/>
      <c r="AD863" s="8"/>
    </row>
    <row r="864" spans="29:30" ht="12.75">
      <c r="AC864" s="8"/>
      <c r="AD864" s="8"/>
    </row>
    <row r="865" spans="29:30" ht="12.75">
      <c r="AC865" s="8"/>
      <c r="AD865" s="8"/>
    </row>
    <row r="866" spans="29:30" ht="12.75">
      <c r="AC866" s="8"/>
      <c r="AD866" s="8"/>
    </row>
    <row r="867" spans="29:30" ht="12.75">
      <c r="AC867" s="8"/>
      <c r="AD867" s="8"/>
    </row>
    <row r="868" spans="29:30" ht="12.75">
      <c r="AC868" s="8"/>
      <c r="AD868" s="8"/>
    </row>
    <row r="869" spans="29:30" ht="12.75">
      <c r="AC869" s="8"/>
      <c r="AD869" s="8"/>
    </row>
    <row r="870" spans="29:30" ht="12.75">
      <c r="AC870" s="8"/>
      <c r="AD870" s="8"/>
    </row>
    <row r="871" spans="29:30" ht="12.75">
      <c r="AC871" s="8"/>
      <c r="AD871" s="8"/>
    </row>
    <row r="872" spans="29:30" ht="12.75">
      <c r="AC872" s="8"/>
      <c r="AD872" s="8"/>
    </row>
    <row r="873" spans="29:30" ht="12.75">
      <c r="AC873" s="8"/>
      <c r="AD873" s="8"/>
    </row>
    <row r="874" spans="29:30" ht="12.75">
      <c r="AC874" s="8"/>
      <c r="AD874" s="8"/>
    </row>
    <row r="875" spans="29:30" ht="12.75">
      <c r="AC875" s="8"/>
      <c r="AD875" s="8"/>
    </row>
    <row r="876" spans="29:30" ht="12.75">
      <c r="AC876" s="8"/>
      <c r="AD876" s="8"/>
    </row>
    <row r="877" spans="29:30" ht="12.75">
      <c r="AC877" s="8"/>
      <c r="AD877" s="8"/>
    </row>
    <row r="878" spans="29:30" ht="12.75">
      <c r="AC878" s="8"/>
      <c r="AD878" s="8"/>
    </row>
    <row r="879" spans="29:30" ht="12.75">
      <c r="AC879" s="8"/>
      <c r="AD879" s="8"/>
    </row>
    <row r="880" spans="29:30" ht="12.75">
      <c r="AC880" s="8"/>
      <c r="AD880" s="8"/>
    </row>
    <row r="881" spans="29:30" ht="12.75">
      <c r="AC881" s="8"/>
      <c r="AD881" s="8"/>
    </row>
    <row r="882" spans="29:30" ht="12.75">
      <c r="AC882" s="8"/>
      <c r="AD882" s="8"/>
    </row>
    <row r="883" spans="29:30" ht="12.75">
      <c r="AC883" s="8"/>
      <c r="AD883" s="8"/>
    </row>
    <row r="884" spans="29:30" ht="12.75">
      <c r="AC884" s="8"/>
      <c r="AD884" s="8"/>
    </row>
    <row r="885" spans="29:30" ht="12.75">
      <c r="AC885" s="8"/>
      <c r="AD885" s="8"/>
    </row>
    <row r="886" spans="29:30" ht="12.75">
      <c r="AC886" s="8"/>
      <c r="AD886" s="8"/>
    </row>
    <row r="887" spans="29:30" ht="12.75">
      <c r="AC887" s="8"/>
      <c r="AD887" s="8"/>
    </row>
    <row r="888" spans="29:30" ht="12.75">
      <c r="AC888" s="8"/>
      <c r="AD888" s="8"/>
    </row>
    <row r="889" spans="29:30" ht="12.75">
      <c r="AC889" s="8"/>
      <c r="AD889" s="8"/>
    </row>
    <row r="890" spans="29:30" ht="12.75">
      <c r="AC890" s="8"/>
      <c r="AD890" s="8"/>
    </row>
    <row r="891" spans="29:30" ht="12.75">
      <c r="AC891" s="8"/>
      <c r="AD891" s="8"/>
    </row>
    <row r="892" spans="29:30" ht="12.75">
      <c r="AC892" s="8"/>
      <c r="AD892" s="8"/>
    </row>
    <row r="893" spans="29:30" ht="12.75">
      <c r="AC893" s="8"/>
      <c r="AD893" s="8"/>
    </row>
    <row r="894" spans="29:30" ht="12.75">
      <c r="AC894" s="8"/>
      <c r="AD894" s="8"/>
    </row>
    <row r="895" spans="29:30" ht="12.75">
      <c r="AC895" s="8"/>
      <c r="AD895" s="8"/>
    </row>
    <row r="896" spans="29:30" ht="12.75">
      <c r="AC896" s="8"/>
      <c r="AD896" s="8"/>
    </row>
    <row r="897" spans="29:30" ht="12.75">
      <c r="AC897" s="8"/>
      <c r="AD897" s="8"/>
    </row>
    <row r="898" spans="29:30" ht="12.75">
      <c r="AC898" s="8"/>
      <c r="AD898" s="8"/>
    </row>
    <row r="899" spans="29:30" ht="12.75">
      <c r="AC899" s="8"/>
      <c r="AD899" s="8"/>
    </row>
    <row r="900" spans="29:30" ht="12.75">
      <c r="AC900" s="8"/>
      <c r="AD900" s="8"/>
    </row>
    <row r="901" spans="29:30" ht="12.75">
      <c r="AC901" s="8"/>
      <c r="AD901" s="8"/>
    </row>
    <row r="902" spans="29:30" ht="12.75">
      <c r="AC902" s="8"/>
      <c r="AD902" s="8"/>
    </row>
    <row r="903" spans="29:30" ht="12.75">
      <c r="AC903" s="8"/>
      <c r="AD903" s="8"/>
    </row>
    <row r="904" spans="29:30" ht="12.75">
      <c r="AC904" s="8"/>
      <c r="AD904" s="8"/>
    </row>
    <row r="905" spans="29:30" ht="12.75">
      <c r="AC905" s="8"/>
      <c r="AD905" s="8"/>
    </row>
    <row r="906" spans="29:30" ht="12.75">
      <c r="AC906" s="8"/>
      <c r="AD906" s="8"/>
    </row>
    <row r="907" spans="29:30" ht="12.75">
      <c r="AC907" s="8"/>
      <c r="AD907" s="8"/>
    </row>
    <row r="908" spans="29:30" ht="12.75">
      <c r="AC908" s="8"/>
      <c r="AD908" s="8"/>
    </row>
    <row r="909" spans="29:30" ht="12.75">
      <c r="AC909" s="8"/>
      <c r="AD909" s="8"/>
    </row>
    <row r="910" spans="29:30" ht="12.75">
      <c r="AC910" s="8"/>
      <c r="AD910" s="8"/>
    </row>
    <row r="911" spans="29:30" ht="12.75">
      <c r="AC911" s="8"/>
      <c r="AD911" s="8"/>
    </row>
    <row r="912" spans="29:30" ht="12.75">
      <c r="AC912" s="8"/>
      <c r="AD912" s="8"/>
    </row>
    <row r="913" spans="29:30" ht="12.75">
      <c r="AC913" s="8"/>
      <c r="AD913" s="8"/>
    </row>
    <row r="914" spans="29:30" ht="12.75">
      <c r="AC914" s="8"/>
      <c r="AD914" s="8"/>
    </row>
    <row r="915" spans="29:30" ht="12.75">
      <c r="AC915" s="8"/>
      <c r="AD915" s="8"/>
    </row>
    <row r="916" spans="29:30" ht="12.75">
      <c r="AC916" s="8"/>
      <c r="AD916" s="8"/>
    </row>
    <row r="917" spans="29:30" ht="12.75">
      <c r="AC917" s="8"/>
      <c r="AD917" s="8"/>
    </row>
    <row r="918" spans="29:30" ht="12.75">
      <c r="AC918" s="8"/>
      <c r="AD918" s="8"/>
    </row>
    <row r="919" spans="29:30" ht="12.75">
      <c r="AC919" s="8"/>
      <c r="AD919" s="8"/>
    </row>
    <row r="920" spans="29:30" ht="12.75">
      <c r="AC920" s="8"/>
      <c r="AD920" s="8"/>
    </row>
    <row r="921" spans="29:30" ht="12.75">
      <c r="AC921" s="8"/>
      <c r="AD921" s="8"/>
    </row>
    <row r="922" spans="29:30" ht="12.75">
      <c r="AC922" s="8"/>
      <c r="AD922" s="8"/>
    </row>
    <row r="923" spans="29:30" ht="12.75">
      <c r="AC923" s="8"/>
      <c r="AD923" s="8"/>
    </row>
    <row r="924" spans="29:30" ht="12.75">
      <c r="AC924" s="8"/>
      <c r="AD924" s="8"/>
    </row>
    <row r="925" spans="29:30" ht="12.75">
      <c r="AC925" s="8"/>
      <c r="AD925" s="8"/>
    </row>
    <row r="926" spans="29:30" ht="12.75">
      <c r="AC926" s="8"/>
      <c r="AD926" s="8"/>
    </row>
    <row r="927" spans="29:30" ht="12.75">
      <c r="AC927" s="8"/>
      <c r="AD927" s="8"/>
    </row>
    <row r="928" spans="29:30" ht="12.75">
      <c r="AC928" s="8"/>
      <c r="AD928" s="8"/>
    </row>
    <row r="929" spans="29:30" ht="12.75">
      <c r="AC929" s="8"/>
      <c r="AD929" s="8"/>
    </row>
    <row r="930" spans="29:30" ht="12.75">
      <c r="AC930" s="8"/>
      <c r="AD930" s="8"/>
    </row>
    <row r="931" spans="29:30" ht="12.75">
      <c r="AC931" s="8"/>
      <c r="AD931" s="8"/>
    </row>
    <row r="932" spans="29:30" ht="12.75">
      <c r="AC932" s="8"/>
      <c r="AD932" s="8"/>
    </row>
    <row r="933" spans="29:30" ht="12.75">
      <c r="AC933" s="8"/>
      <c r="AD933" s="8"/>
    </row>
    <row r="934" spans="29:30" ht="12.75">
      <c r="AC934" s="8"/>
      <c r="AD934" s="8"/>
    </row>
    <row r="935" spans="29:30" ht="12.75">
      <c r="AC935" s="8"/>
      <c r="AD935" s="8"/>
    </row>
    <row r="936" spans="29:30" ht="12.75">
      <c r="AC936" s="8"/>
      <c r="AD936" s="8"/>
    </row>
    <row r="937" spans="29:30" ht="12.75">
      <c r="AC937" s="8"/>
      <c r="AD937" s="8"/>
    </row>
    <row r="938" spans="29:30" ht="12.75">
      <c r="AC938" s="8"/>
      <c r="AD938" s="8"/>
    </row>
    <row r="939" spans="29:30" ht="12.75">
      <c r="AC939" s="8"/>
      <c r="AD939" s="8"/>
    </row>
    <row r="940" spans="29:30" ht="12.75">
      <c r="AC940" s="8"/>
      <c r="AD940" s="8"/>
    </row>
    <row r="941" spans="29:30" ht="12.75">
      <c r="AC941" s="8"/>
      <c r="AD941" s="8"/>
    </row>
    <row r="942" spans="29:30" ht="12.75">
      <c r="AC942" s="8"/>
      <c r="AD942" s="8"/>
    </row>
    <row r="943" spans="29:30" ht="12.75">
      <c r="AC943" s="8"/>
      <c r="AD943" s="8"/>
    </row>
    <row r="944" spans="29:30" ht="12.75">
      <c r="AC944" s="8"/>
      <c r="AD944" s="8"/>
    </row>
    <row r="945" spans="29:30" ht="12.75">
      <c r="AC945" s="8"/>
      <c r="AD945" s="8"/>
    </row>
    <row r="946" spans="29:30" ht="12.75">
      <c r="AC946" s="8"/>
      <c r="AD946" s="8"/>
    </row>
    <row r="947" spans="29:30" ht="12.75">
      <c r="AC947" s="8"/>
      <c r="AD947" s="8"/>
    </row>
    <row r="948" spans="29:30" ht="12.75">
      <c r="AC948" s="8"/>
      <c r="AD948" s="8"/>
    </row>
    <row r="949" spans="29:30" ht="12.75">
      <c r="AC949" s="8"/>
      <c r="AD949" s="8"/>
    </row>
    <row r="950" spans="29:30" ht="12.75">
      <c r="AC950" s="8"/>
      <c r="AD950" s="8"/>
    </row>
    <row r="951" spans="29:30" ht="12.75">
      <c r="AC951" s="8"/>
      <c r="AD951" s="8"/>
    </row>
    <row r="952" spans="29:30" ht="12.75">
      <c r="AC952" s="8"/>
      <c r="AD952" s="8"/>
    </row>
    <row r="953" spans="29:30" ht="12.75">
      <c r="AC953" s="8"/>
      <c r="AD953" s="8"/>
    </row>
    <row r="954" spans="29:30" ht="12.75">
      <c r="AC954" s="8"/>
      <c r="AD954" s="8"/>
    </row>
    <row r="955" spans="29:30" ht="12.75">
      <c r="AC955" s="8"/>
      <c r="AD955" s="8"/>
    </row>
    <row r="956" spans="29:30" ht="12.75">
      <c r="AC956" s="8"/>
      <c r="AD956" s="8"/>
    </row>
    <row r="957" spans="29:30" ht="12.75">
      <c r="AC957" s="8"/>
      <c r="AD957" s="8"/>
    </row>
    <row r="958" spans="29:30" ht="12.75">
      <c r="AC958" s="8"/>
      <c r="AD958" s="8"/>
    </row>
    <row r="959" spans="29:30" ht="12.75">
      <c r="AC959" s="8"/>
      <c r="AD959" s="8"/>
    </row>
    <row r="960" spans="29:30" ht="12.75">
      <c r="AC960" s="8"/>
      <c r="AD960" s="8"/>
    </row>
    <row r="961" spans="29:30" ht="12.75">
      <c r="AC961" s="8"/>
      <c r="AD961" s="8"/>
    </row>
    <row r="962" spans="29:30" ht="12.75">
      <c r="AC962" s="8"/>
      <c r="AD962" s="8"/>
    </row>
    <row r="963" spans="29:30" ht="12.75">
      <c r="AC963" s="8"/>
      <c r="AD963" s="8"/>
    </row>
    <row r="964" spans="29:30" ht="12.75">
      <c r="AC964" s="8"/>
      <c r="AD964" s="8"/>
    </row>
    <row r="965" spans="29:30" ht="12.75">
      <c r="AC965" s="8"/>
      <c r="AD965" s="8"/>
    </row>
    <row r="966" spans="29:30" ht="12.75">
      <c r="AC966" s="8"/>
      <c r="AD966" s="8"/>
    </row>
    <row r="967" spans="29:30" ht="12.75">
      <c r="AC967" s="8"/>
      <c r="AD967" s="8"/>
    </row>
    <row r="968" spans="29:30" ht="12.75">
      <c r="AC968" s="8"/>
      <c r="AD968" s="8"/>
    </row>
    <row r="969" spans="29:30" ht="12.75">
      <c r="AC969" s="8"/>
      <c r="AD969" s="8"/>
    </row>
    <row r="970" spans="29:30" ht="12.75">
      <c r="AC970" s="8"/>
      <c r="AD970" s="8"/>
    </row>
    <row r="971" spans="29:30" ht="12.75">
      <c r="AC971" s="8"/>
      <c r="AD971" s="8"/>
    </row>
    <row r="972" spans="29:30" ht="12.75">
      <c r="AC972" s="8"/>
      <c r="AD972" s="8"/>
    </row>
    <row r="973" spans="29:30" ht="12.75">
      <c r="AC973" s="8"/>
      <c r="AD973" s="8"/>
    </row>
    <row r="974" spans="29:30" ht="12.75">
      <c r="AC974" s="8"/>
      <c r="AD974" s="8"/>
    </row>
    <row r="975" spans="29:30" ht="12.75">
      <c r="AC975" s="8"/>
      <c r="AD975" s="8"/>
    </row>
    <row r="976" spans="29:30" ht="12.75">
      <c r="AC976" s="8"/>
      <c r="AD976" s="8"/>
    </row>
    <row r="977" spans="29:30" ht="12.75">
      <c r="AC977" s="8"/>
      <c r="AD977" s="8"/>
    </row>
    <row r="978" spans="29:30" ht="12.75">
      <c r="AC978" s="8"/>
      <c r="AD978" s="8"/>
    </row>
    <row r="979" spans="29:30" ht="12.75">
      <c r="AC979" s="8"/>
      <c r="AD979" s="8"/>
    </row>
    <row r="980" spans="29:30" ht="12.75">
      <c r="AC980" s="8"/>
      <c r="AD980" s="8"/>
    </row>
    <row r="981" spans="29:30" ht="12.75">
      <c r="AC981" s="8"/>
      <c r="AD981" s="8"/>
    </row>
    <row r="982" spans="29:30" ht="12.75">
      <c r="AC982" s="8"/>
      <c r="AD982" s="8"/>
    </row>
    <row r="983" spans="29:30" ht="12.75">
      <c r="AC983" s="8"/>
      <c r="AD983" s="8"/>
    </row>
    <row r="984" spans="29:30" ht="12.75">
      <c r="AC984" s="8"/>
      <c r="AD984" s="8"/>
    </row>
    <row r="985" spans="29:30" ht="12.75">
      <c r="AC985" s="8"/>
      <c r="AD985" s="8"/>
    </row>
    <row r="986" spans="29:30" ht="12.75">
      <c r="AC986" s="8"/>
      <c r="AD986" s="8"/>
    </row>
    <row r="987" spans="29:30" ht="12.75">
      <c r="AC987" s="8"/>
      <c r="AD987" s="8"/>
    </row>
    <row r="988" spans="29:30" ht="12.75">
      <c r="AC988" s="8"/>
      <c r="AD988" s="8"/>
    </row>
    <row r="989" spans="29:30" ht="12.75">
      <c r="AC989" s="8"/>
      <c r="AD989" s="8"/>
    </row>
    <row r="990" spans="29:30" ht="12.75">
      <c r="AC990" s="8"/>
      <c r="AD990" s="8"/>
    </row>
    <row r="991" spans="29:30" ht="12.75">
      <c r="AC991" s="8"/>
      <c r="AD991" s="8"/>
    </row>
    <row r="992" spans="29:30" ht="12.75">
      <c r="AC992" s="8"/>
      <c r="AD992" s="8"/>
    </row>
    <row r="993" spans="29:30" ht="12.75">
      <c r="AC993" s="8"/>
      <c r="AD993" s="8"/>
    </row>
    <row r="994" spans="29:30" ht="12.75">
      <c r="AC994" s="8"/>
      <c r="AD994" s="8"/>
    </row>
    <row r="995" spans="29:30" ht="12.75">
      <c r="AC995" s="8"/>
      <c r="AD995" s="8"/>
    </row>
    <row r="996" spans="29:30" ht="12.75">
      <c r="AC996" s="8"/>
      <c r="AD996" s="8"/>
    </row>
    <row r="997" spans="29:30" ht="12.75">
      <c r="AC997" s="8"/>
      <c r="AD997" s="8"/>
    </row>
    <row r="998" spans="29:30" ht="12.75">
      <c r="AC998" s="8"/>
      <c r="AD998" s="8"/>
    </row>
    <row r="999" spans="29:30" ht="12.75">
      <c r="AC999" s="8"/>
      <c r="AD999" s="8"/>
    </row>
    <row r="1000" spans="29:30" ht="12.75">
      <c r="AC1000" s="8"/>
      <c r="AD1000" s="8"/>
    </row>
    <row r="1001" spans="29:30" ht="12.75">
      <c r="AC1001" s="8"/>
      <c r="AD1001" s="8"/>
    </row>
    <row r="1002" spans="29:30" ht="12.75">
      <c r="AC1002" s="8"/>
      <c r="AD1002" s="8"/>
    </row>
    <row r="1003" spans="29:30" ht="12.75">
      <c r="AC1003" s="8"/>
      <c r="AD1003" s="8"/>
    </row>
    <row r="1004" spans="29:30" ht="12.75">
      <c r="AC1004" s="8"/>
      <c r="AD1004" s="8"/>
    </row>
    <row r="1005" spans="29:30" ht="12.75">
      <c r="AC1005" s="8"/>
      <c r="AD1005" s="8"/>
    </row>
    <row r="1006" spans="29:30" ht="12.75">
      <c r="AC1006" s="8"/>
      <c r="AD1006" s="8"/>
    </row>
    <row r="1007" spans="29:30" ht="12.75">
      <c r="AC1007" s="8"/>
      <c r="AD1007" s="8"/>
    </row>
    <row r="1008" spans="29:30" ht="12.75">
      <c r="AC1008" s="8"/>
      <c r="AD1008" s="8"/>
    </row>
    <row r="1009" spans="29:30" ht="12.75">
      <c r="AC1009" s="8"/>
      <c r="AD1009" s="8"/>
    </row>
    <row r="1010" spans="29:30" ht="12.75">
      <c r="AC1010" s="8"/>
      <c r="AD1010" s="8"/>
    </row>
    <row r="1011" spans="29:30" ht="12.75">
      <c r="AC1011" s="8"/>
      <c r="AD1011" s="8"/>
    </row>
    <row r="1012" spans="29:30" ht="12.75">
      <c r="AC1012" s="8"/>
      <c r="AD1012" s="8"/>
    </row>
    <row r="1013" spans="29:30" ht="12.75">
      <c r="AC1013" s="8"/>
      <c r="AD1013" s="8"/>
    </row>
    <row r="1014" spans="29:30" ht="12.75">
      <c r="AC1014" s="8"/>
      <c r="AD1014" s="8"/>
    </row>
    <row r="1015" spans="29:30" ht="12.75">
      <c r="AC1015" s="8"/>
      <c r="AD1015" s="8"/>
    </row>
    <row r="1016" spans="29:30" ht="12.75">
      <c r="AC1016" s="8"/>
      <c r="AD1016" s="8"/>
    </row>
    <row r="1017" spans="29:30" ht="12.75">
      <c r="AC1017" s="8"/>
      <c r="AD1017" s="8"/>
    </row>
    <row r="1018" spans="29:30" ht="12.75">
      <c r="AC1018" s="8"/>
      <c r="AD1018" s="8"/>
    </row>
    <row r="1019" spans="29:30" ht="12.75">
      <c r="AC1019" s="8"/>
      <c r="AD1019" s="8"/>
    </row>
    <row r="1020" spans="29:30" ht="12.75">
      <c r="AC1020" s="8"/>
      <c r="AD1020" s="8"/>
    </row>
    <row r="1021" spans="29:30" ht="12.75">
      <c r="AC1021" s="8"/>
      <c r="AD1021" s="8"/>
    </row>
    <row r="1022" spans="29:30" ht="12.75">
      <c r="AC1022" s="8"/>
      <c r="AD1022" s="8"/>
    </row>
    <row r="1023" spans="29:30" ht="12.75">
      <c r="AC1023" s="8"/>
      <c r="AD1023" s="8"/>
    </row>
    <row r="1024" spans="29:30" ht="12.75">
      <c r="AC1024" s="8"/>
      <c r="AD1024" s="8"/>
    </row>
    <row r="1025" spans="29:30" ht="12.75">
      <c r="AC1025" s="8"/>
      <c r="AD1025" s="8"/>
    </row>
    <row r="1026" spans="29:30" ht="12.75">
      <c r="AC1026" s="8"/>
      <c r="AD1026" s="8"/>
    </row>
    <row r="1027" spans="29:30" ht="12.75">
      <c r="AC1027" s="8"/>
      <c r="AD1027" s="8"/>
    </row>
    <row r="1028" spans="29:30" ht="12.75">
      <c r="AC1028" s="8"/>
      <c r="AD1028" s="8"/>
    </row>
    <row r="1029" spans="29:30" ht="12.75">
      <c r="AC1029" s="8"/>
      <c r="AD1029" s="8"/>
    </row>
    <row r="1030" spans="29:30" ht="12.75">
      <c r="AC1030" s="8"/>
      <c r="AD1030" s="8"/>
    </row>
    <row r="1031" spans="29:30" ht="12.75">
      <c r="AC1031" s="8"/>
      <c r="AD1031" s="8"/>
    </row>
    <row r="1032" spans="29:30" ht="12.75">
      <c r="AC1032" s="8"/>
      <c r="AD1032" s="8"/>
    </row>
    <row r="1033" spans="29:30" ht="12.75">
      <c r="AC1033" s="8"/>
      <c r="AD1033" s="8"/>
    </row>
    <row r="1034" spans="29:30" ht="12.75">
      <c r="AC1034" s="8"/>
      <c r="AD1034" s="8"/>
    </row>
    <row r="1035" spans="29:30" ht="12.75">
      <c r="AC1035" s="8"/>
      <c r="AD1035" s="8"/>
    </row>
    <row r="1036" spans="29:30" ht="12.75">
      <c r="AC1036" s="8"/>
      <c r="AD1036" s="8"/>
    </row>
    <row r="1037" spans="29:30" ht="12.75">
      <c r="AC1037" s="8"/>
      <c r="AD1037" s="8"/>
    </row>
    <row r="1038" spans="29:30" ht="12.75">
      <c r="AC1038" s="8"/>
      <c r="AD1038" s="8"/>
    </row>
    <row r="1039" spans="29:30" ht="12.75">
      <c r="AC1039" s="8"/>
      <c r="AD1039" s="8"/>
    </row>
    <row r="1040" spans="29:30" ht="12.75">
      <c r="AC1040" s="8"/>
      <c r="AD1040" s="8"/>
    </row>
    <row r="1041" spans="29:30" ht="12.75">
      <c r="AC1041" s="8"/>
      <c r="AD1041" s="8"/>
    </row>
    <row r="1042" spans="29:30" ht="12.75">
      <c r="AC1042" s="8"/>
      <c r="AD1042" s="8"/>
    </row>
    <row r="1043" spans="29:30" ht="12.75">
      <c r="AC1043" s="8"/>
      <c r="AD1043" s="8"/>
    </row>
    <row r="1044" spans="29:30" ht="12.75">
      <c r="AC1044" s="8"/>
      <c r="AD1044" s="8"/>
    </row>
    <row r="1045" spans="29:30" ht="12.75">
      <c r="AC1045" s="8"/>
      <c r="AD1045" s="8"/>
    </row>
    <row r="1046" spans="29:30" ht="12.75">
      <c r="AC1046" s="8"/>
      <c r="AD1046" s="8"/>
    </row>
    <row r="1047" spans="29:30" ht="12.75">
      <c r="AC1047" s="8"/>
      <c r="AD1047" s="8"/>
    </row>
    <row r="1048" spans="29:30" ht="12.75">
      <c r="AC1048" s="8"/>
      <c r="AD1048" s="8"/>
    </row>
    <row r="1049" spans="29:30" ht="12.75">
      <c r="AC1049" s="8"/>
      <c r="AD1049" s="8"/>
    </row>
    <row r="1050" spans="29:30" ht="12.75">
      <c r="AC1050" s="8"/>
      <c r="AD1050" s="8"/>
    </row>
    <row r="1051" spans="29:30" ht="12.75">
      <c r="AC1051" s="8"/>
      <c r="AD1051" s="8"/>
    </row>
    <row r="1052" spans="29:30" ht="12.75">
      <c r="AC1052" s="8"/>
      <c r="AD1052" s="8"/>
    </row>
    <row r="1053" spans="29:30" ht="12.75">
      <c r="AC1053" s="8"/>
      <c r="AD1053" s="8"/>
    </row>
    <row r="1054" spans="29:30" ht="12.75">
      <c r="AC1054" s="8"/>
      <c r="AD1054" s="8"/>
    </row>
    <row r="1055" spans="29:30" ht="12.75">
      <c r="AC1055" s="8"/>
      <c r="AD1055" s="8"/>
    </row>
    <row r="1056" spans="29:30" ht="12.75">
      <c r="AC1056" s="8"/>
      <c r="AD1056" s="8"/>
    </row>
    <row r="1057" spans="29:30" ht="12.75">
      <c r="AC1057" s="8"/>
      <c r="AD1057" s="8"/>
    </row>
    <row r="1058" spans="29:30" ht="12.75">
      <c r="AC1058" s="8"/>
      <c r="AD1058" s="8"/>
    </row>
    <row r="1059" spans="29:30" ht="12.75">
      <c r="AC1059" s="8"/>
      <c r="AD1059" s="8"/>
    </row>
    <row r="1060" spans="29:30" ht="12.75">
      <c r="AC1060" s="8"/>
      <c r="AD1060" s="8"/>
    </row>
    <row r="1061" spans="29:30" ht="12.75">
      <c r="AC1061" s="8"/>
      <c r="AD1061" s="8"/>
    </row>
    <row r="1062" spans="29:30" ht="12.75">
      <c r="AC1062" s="8"/>
      <c r="AD1062" s="8"/>
    </row>
    <row r="1063" spans="29:30" ht="12.75">
      <c r="AC1063" s="8"/>
      <c r="AD1063" s="8"/>
    </row>
    <row r="1064" spans="29:30" ht="12.75">
      <c r="AC1064" s="8"/>
      <c r="AD1064" s="8"/>
    </row>
    <row r="1065" spans="29:30" ht="12.75">
      <c r="AC1065" s="8"/>
      <c r="AD1065" s="8"/>
    </row>
    <row r="1066" spans="29:30" ht="12.75">
      <c r="AC1066" s="8"/>
      <c r="AD1066" s="8"/>
    </row>
    <row r="1067" spans="29:30" ht="12.75">
      <c r="AC1067" s="8"/>
      <c r="AD1067" s="8"/>
    </row>
    <row r="1068" spans="29:30" ht="12.75">
      <c r="AC1068" s="8"/>
      <c r="AD1068" s="8"/>
    </row>
    <row r="1069" spans="29:30" ht="12.75">
      <c r="AC1069" s="8"/>
      <c r="AD1069" s="8"/>
    </row>
    <row r="1070" spans="29:30" ht="12.75">
      <c r="AC1070" s="8"/>
      <c r="AD1070" s="8"/>
    </row>
    <row r="1071" spans="29:30" ht="12.75">
      <c r="AC1071" s="8"/>
      <c r="AD1071" s="8"/>
    </row>
    <row r="1072" spans="29:30" ht="12.75">
      <c r="AC1072" s="8"/>
      <c r="AD1072" s="8"/>
    </row>
    <row r="1073" spans="29:30" ht="12.75">
      <c r="AC1073" s="8"/>
      <c r="AD1073" s="8"/>
    </row>
    <row r="1074" spans="29:30" ht="12.75">
      <c r="AC1074" s="8"/>
      <c r="AD1074" s="8"/>
    </row>
    <row r="1075" spans="29:30" ht="12.75">
      <c r="AC1075" s="8"/>
      <c r="AD1075" s="8"/>
    </row>
    <row r="1076" spans="29:30" ht="12.75">
      <c r="AC1076" s="8"/>
      <c r="AD1076" s="8"/>
    </row>
    <row r="1077" spans="29:30" ht="12.75">
      <c r="AC1077" s="8"/>
      <c r="AD1077" s="8"/>
    </row>
    <row r="1078" spans="29:30" ht="12.75">
      <c r="AC1078" s="8"/>
      <c r="AD1078" s="8"/>
    </row>
    <row r="1079" spans="29:30" ht="12.75">
      <c r="AC1079" s="8"/>
      <c r="AD1079" s="8"/>
    </row>
    <row r="1080" spans="29:30" ht="12.75">
      <c r="AC1080" s="8"/>
      <c r="AD1080" s="8"/>
    </row>
    <row r="1081" spans="29:30" ht="12.75">
      <c r="AC1081" s="8"/>
      <c r="AD1081" s="8"/>
    </row>
    <row r="1082" spans="29:30" ht="12.75">
      <c r="AC1082" s="8"/>
      <c r="AD1082" s="8"/>
    </row>
    <row r="1083" spans="29:30" ht="12.75">
      <c r="AC1083" s="8"/>
      <c r="AD1083" s="8"/>
    </row>
    <row r="1084" spans="29:30" ht="12.75">
      <c r="AC1084" s="8"/>
      <c r="AD1084" s="8"/>
    </row>
    <row r="1085" spans="29:30" ht="12.75">
      <c r="AC1085" s="8"/>
      <c r="AD1085" s="8"/>
    </row>
    <row r="1086" spans="29:30" ht="12.75">
      <c r="AC1086" s="8"/>
      <c r="AD1086" s="8"/>
    </row>
    <row r="1087" spans="29:30" ht="12.75">
      <c r="AC1087" s="8"/>
      <c r="AD1087" s="8"/>
    </row>
    <row r="1088" spans="29:30" ht="12.75">
      <c r="AC1088" s="8"/>
      <c r="AD1088" s="8"/>
    </row>
    <row r="1089" spans="29:30" ht="12.75">
      <c r="AC1089" s="8"/>
      <c r="AD1089" s="8"/>
    </row>
    <row r="1090" spans="29:30" ht="12.75">
      <c r="AC1090" s="8"/>
      <c r="AD1090" s="8"/>
    </row>
    <row r="1091" spans="29:30" ht="12.75">
      <c r="AC1091" s="8"/>
      <c r="AD1091" s="8"/>
    </row>
    <row r="1092" spans="29:30" ht="12.75">
      <c r="AC1092" s="8"/>
      <c r="AD1092" s="8"/>
    </row>
    <row r="1093" spans="29:30" ht="12.75">
      <c r="AC1093" s="8"/>
      <c r="AD1093" s="8"/>
    </row>
    <row r="1094" spans="29:30" ht="12.75">
      <c r="AC1094" s="8"/>
      <c r="AD1094" s="8"/>
    </row>
    <row r="1095" spans="29:30" ht="12.75">
      <c r="AC1095" s="8"/>
      <c r="AD1095" s="8"/>
    </row>
    <row r="1096" spans="29:30" ht="12.75">
      <c r="AC1096" s="8"/>
      <c r="AD1096" s="8"/>
    </row>
    <row r="1097" spans="29:30" ht="12.75">
      <c r="AC1097" s="8"/>
      <c r="AD1097" s="8"/>
    </row>
    <row r="1098" spans="29:30" ht="12.75">
      <c r="AC1098" s="8"/>
      <c r="AD1098" s="8"/>
    </row>
    <row r="1099" spans="29:30" ht="12.75">
      <c r="AC1099" s="8"/>
      <c r="AD1099" s="8"/>
    </row>
    <row r="1100" spans="29:30" ht="12.75">
      <c r="AC1100" s="8"/>
      <c r="AD1100" s="8"/>
    </row>
    <row r="1101" spans="29:30" ht="12.75">
      <c r="AC1101" s="8"/>
      <c r="AD1101" s="8"/>
    </row>
    <row r="1102" spans="29:30" ht="12.75">
      <c r="AC1102" s="8"/>
      <c r="AD1102" s="8"/>
    </row>
    <row r="1103" spans="29:30" ht="12.75">
      <c r="AC1103" s="8"/>
      <c r="AD1103" s="8"/>
    </row>
    <row r="1104" spans="29:30" ht="12.75">
      <c r="AC1104" s="8"/>
      <c r="AD1104" s="8"/>
    </row>
    <row r="1105" spans="29:30" ht="12.75">
      <c r="AC1105" s="8"/>
      <c r="AD1105" s="8"/>
    </row>
    <row r="1106" spans="29:30" ht="12.75">
      <c r="AC1106" s="8"/>
      <c r="AD1106" s="8"/>
    </row>
    <row r="1107" spans="29:30" ht="12.75">
      <c r="AC1107" s="8"/>
      <c r="AD1107" s="8"/>
    </row>
    <row r="1108" spans="29:30" ht="12.75">
      <c r="AC1108" s="8"/>
      <c r="AD1108" s="8"/>
    </row>
    <row r="1109" spans="29:30" ht="12.75">
      <c r="AC1109" s="8"/>
      <c r="AD1109" s="8"/>
    </row>
    <row r="1110" spans="29:30" ht="12.75">
      <c r="AC1110" s="8"/>
      <c r="AD1110" s="8"/>
    </row>
    <row r="1111" spans="29:30" ht="12.75">
      <c r="AC1111" s="8"/>
      <c r="AD1111" s="8"/>
    </row>
    <row r="1112" spans="29:30" ht="12.75">
      <c r="AC1112" s="8"/>
      <c r="AD1112" s="8"/>
    </row>
    <row r="1113" spans="29:30" ht="12.75">
      <c r="AC1113" s="8"/>
      <c r="AD1113" s="8"/>
    </row>
    <row r="1114" spans="29:30" ht="12.75">
      <c r="AC1114" s="8"/>
      <c r="AD1114" s="8"/>
    </row>
    <row r="1115" spans="29:30" ht="12.75">
      <c r="AC1115" s="8"/>
      <c r="AD1115" s="8"/>
    </row>
    <row r="1116" spans="29:30" ht="12.75">
      <c r="AC1116" s="8"/>
      <c r="AD1116" s="8"/>
    </row>
    <row r="1117" spans="29:30" ht="12.75">
      <c r="AC1117" s="8"/>
      <c r="AD1117" s="8"/>
    </row>
    <row r="1118" spans="29:30" ht="12.75">
      <c r="AC1118" s="8"/>
      <c r="AD1118" s="8"/>
    </row>
    <row r="1119" spans="29:30" ht="12.75">
      <c r="AC1119" s="8"/>
      <c r="AD1119" s="8"/>
    </row>
    <row r="1120" spans="29:30" ht="12.75">
      <c r="AC1120" s="8"/>
      <c r="AD1120" s="8"/>
    </row>
    <row r="1121" spans="29:30" ht="12.75">
      <c r="AC1121" s="8"/>
      <c r="AD1121" s="8"/>
    </row>
    <row r="1122" spans="29:30" ht="12.75">
      <c r="AC1122" s="8"/>
      <c r="AD1122" s="8"/>
    </row>
    <row r="1123" spans="29:30" ht="12.75">
      <c r="AC1123" s="8"/>
      <c r="AD1123" s="8"/>
    </row>
    <row r="1124" spans="29:30" ht="12.75">
      <c r="AC1124" s="8"/>
      <c r="AD1124" s="8"/>
    </row>
    <row r="1125" spans="29:30" ht="12.75">
      <c r="AC1125" s="8"/>
      <c r="AD1125" s="8"/>
    </row>
    <row r="1126" spans="29:30" ht="12.75">
      <c r="AC1126" s="8"/>
      <c r="AD1126" s="8"/>
    </row>
    <row r="1127" spans="29:30" ht="12.75">
      <c r="AC1127" s="8"/>
      <c r="AD1127" s="8"/>
    </row>
    <row r="1128" spans="29:30" ht="12.75">
      <c r="AC1128" s="8"/>
      <c r="AD1128" s="8"/>
    </row>
    <row r="1129" spans="29:30" ht="12.75">
      <c r="AC1129" s="8"/>
      <c r="AD1129" s="8"/>
    </row>
    <row r="1130" spans="29:30" ht="12.75">
      <c r="AC1130" s="8"/>
      <c r="AD1130" s="8"/>
    </row>
    <row r="1131" spans="29:30" ht="12.75">
      <c r="AC1131" s="8"/>
      <c r="AD1131" s="8"/>
    </row>
    <row r="1132" spans="29:30" ht="12.75">
      <c r="AC1132" s="8"/>
      <c r="AD1132" s="8"/>
    </row>
    <row r="1133" spans="29:30" ht="12.75">
      <c r="AC1133" s="8"/>
      <c r="AD1133" s="8"/>
    </row>
    <row r="1134" spans="29:30" ht="12.75">
      <c r="AC1134" s="8"/>
      <c r="AD1134" s="8"/>
    </row>
    <row r="1135" spans="29:30" ht="12.75">
      <c r="AC1135" s="8"/>
      <c r="AD1135" s="8"/>
    </row>
    <row r="1136" spans="29:30" ht="12.75">
      <c r="AC1136" s="8"/>
      <c r="AD1136" s="8"/>
    </row>
    <row r="1137" spans="29:30" ht="12.75">
      <c r="AC1137" s="8"/>
      <c r="AD1137" s="8"/>
    </row>
    <row r="1138" spans="29:30" ht="12.75">
      <c r="AC1138" s="8"/>
      <c r="AD1138" s="8"/>
    </row>
    <row r="1139" spans="29:30" ht="12.75">
      <c r="AC1139" s="8"/>
      <c r="AD1139" s="8"/>
    </row>
    <row r="1140" spans="29:30" ht="12.75">
      <c r="AC1140" s="8"/>
      <c r="AD1140" s="8"/>
    </row>
    <row r="1141" spans="29:30" ht="12.75">
      <c r="AC1141" s="8"/>
      <c r="AD1141" s="8"/>
    </row>
    <row r="1142" spans="29:30" ht="12.75">
      <c r="AC1142" s="8"/>
      <c r="AD1142" s="8"/>
    </row>
    <row r="1143" spans="29:30" ht="12.75">
      <c r="AC1143" s="8"/>
      <c r="AD1143" s="8"/>
    </row>
    <row r="1144" spans="29:30" ht="12.75">
      <c r="AC1144" s="8"/>
      <c r="AD1144" s="8"/>
    </row>
    <row r="1145" spans="29:30" ht="12.75">
      <c r="AC1145" s="8"/>
      <c r="AD1145" s="8"/>
    </row>
    <row r="1146" spans="29:30" ht="12.75">
      <c r="AC1146" s="8"/>
      <c r="AD1146" s="8"/>
    </row>
    <row r="1147" spans="29:30" ht="12.75">
      <c r="AC1147" s="8"/>
      <c r="AD1147" s="8"/>
    </row>
    <row r="1148" spans="29:30" ht="12.75">
      <c r="AC1148" s="8"/>
      <c r="AD1148" s="8"/>
    </row>
    <row r="1149" spans="29:30" ht="12.75">
      <c r="AC1149" s="8"/>
      <c r="AD1149" s="8"/>
    </row>
    <row r="1150" spans="29:30" ht="12.75">
      <c r="AC1150" s="8"/>
      <c r="AD1150" s="8"/>
    </row>
    <row r="1151" spans="29:30" ht="12.75">
      <c r="AC1151" s="8"/>
      <c r="AD1151" s="8"/>
    </row>
    <row r="1152" spans="29:30" ht="12.75">
      <c r="AC1152" s="8"/>
      <c r="AD1152" s="8"/>
    </row>
    <row r="1153" spans="29:30" ht="12.75">
      <c r="AC1153" s="8"/>
      <c r="AD1153" s="8"/>
    </row>
    <row r="1154" spans="29:30" ht="12.75">
      <c r="AC1154" s="8"/>
      <c r="AD1154" s="8"/>
    </row>
    <row r="1155" spans="29:30" ht="12.75">
      <c r="AC1155" s="8"/>
      <c r="AD1155" s="8"/>
    </row>
    <row r="1156" spans="29:30" ht="12.75">
      <c r="AC1156" s="8"/>
      <c r="AD1156" s="8"/>
    </row>
    <row r="1157" spans="29:30" ht="12.75">
      <c r="AC1157" s="8"/>
      <c r="AD1157" s="8"/>
    </row>
    <row r="1158" spans="29:30" ht="12.75">
      <c r="AC1158" s="8"/>
      <c r="AD1158" s="8"/>
    </row>
    <row r="1159" spans="29:30" ht="12.75">
      <c r="AC1159" s="8"/>
      <c r="AD1159" s="8"/>
    </row>
    <row r="1160" spans="29:30" ht="12.75">
      <c r="AC1160" s="8"/>
      <c r="AD1160" s="8"/>
    </row>
    <row r="1161" spans="29:30" ht="12.75">
      <c r="AC1161" s="8"/>
      <c r="AD1161" s="8"/>
    </row>
    <row r="1162" spans="29:30" ht="12.75">
      <c r="AC1162" s="8"/>
      <c r="AD1162" s="8"/>
    </row>
    <row r="1163" spans="29:30" ht="12.75">
      <c r="AC1163" s="8"/>
      <c r="AD1163" s="8"/>
    </row>
    <row r="1164" spans="29:30" ht="12.75">
      <c r="AC1164" s="8"/>
      <c r="AD1164" s="8"/>
    </row>
    <row r="1165" spans="29:30" ht="12.75">
      <c r="AC1165" s="8"/>
      <c r="AD1165" s="8"/>
    </row>
    <row r="1166" spans="29:30" ht="12.75">
      <c r="AC1166" s="8"/>
      <c r="AD1166" s="8"/>
    </row>
    <row r="1167" spans="29:30" ht="12.75">
      <c r="AC1167" s="8"/>
      <c r="AD1167" s="8"/>
    </row>
    <row r="1168" spans="29:30" ht="12.75">
      <c r="AC1168" s="8"/>
      <c r="AD1168" s="8"/>
    </row>
    <row r="1169" spans="29:30" ht="12.75">
      <c r="AC1169" s="8"/>
      <c r="AD1169" s="8"/>
    </row>
    <row r="1170" spans="29:30" ht="12.75">
      <c r="AC1170" s="8"/>
      <c r="AD1170" s="8"/>
    </row>
    <row r="1171" spans="29:30" ht="12.75">
      <c r="AC1171" s="8"/>
      <c r="AD1171" s="8"/>
    </row>
    <row r="1172" spans="29:30" ht="12.75">
      <c r="AC1172" s="8"/>
      <c r="AD1172" s="8"/>
    </row>
    <row r="1173" spans="29:30" ht="12.75">
      <c r="AC1173" s="8"/>
      <c r="AD1173" s="8"/>
    </row>
    <row r="1174" spans="29:30" ht="12.75">
      <c r="AC1174" s="8"/>
      <c r="AD1174" s="8"/>
    </row>
    <row r="1175" spans="29:30" ht="12.75">
      <c r="AC1175" s="8"/>
      <c r="AD1175" s="8"/>
    </row>
    <row r="1176" spans="29:30" ht="12.75">
      <c r="AC1176" s="8"/>
      <c r="AD1176" s="8"/>
    </row>
    <row r="1177" spans="29:30" ht="12.75">
      <c r="AC1177" s="8"/>
      <c r="AD1177" s="8"/>
    </row>
    <row r="1178" spans="29:30" ht="12.75">
      <c r="AC1178" s="8"/>
      <c r="AD1178" s="8"/>
    </row>
    <row r="1179" spans="29:30" ht="12.75">
      <c r="AC1179" s="8"/>
      <c r="AD1179" s="8"/>
    </row>
    <row r="1180" spans="29:30" ht="12.75">
      <c r="AC1180" s="8"/>
      <c r="AD1180" s="8"/>
    </row>
    <row r="1181" spans="29:30" ht="12.75">
      <c r="AC1181" s="8"/>
      <c r="AD1181" s="8"/>
    </row>
    <row r="1182" spans="29:30" ht="12.75">
      <c r="AC1182" s="8"/>
      <c r="AD1182" s="8"/>
    </row>
    <row r="1183" spans="29:30" ht="12.75">
      <c r="AC1183" s="8"/>
      <c r="AD1183" s="8"/>
    </row>
    <row r="1184" spans="29:30" ht="12.75">
      <c r="AC1184" s="8"/>
      <c r="AD1184" s="8"/>
    </row>
    <row r="1185" spans="29:30" ht="12.75">
      <c r="AC1185" s="8"/>
      <c r="AD1185" s="8"/>
    </row>
    <row r="1186" spans="29:30" ht="12.75">
      <c r="AC1186" s="8"/>
      <c r="AD1186" s="8"/>
    </row>
    <row r="1187" spans="29:30" ht="12.75">
      <c r="AC1187" s="8"/>
      <c r="AD1187" s="8"/>
    </row>
    <row r="1188" spans="29:30" ht="12.75">
      <c r="AC1188" s="8"/>
      <c r="AD1188" s="8"/>
    </row>
    <row r="1189" spans="29:30" ht="12.75">
      <c r="AC1189" s="8"/>
      <c r="AD1189" s="8"/>
    </row>
    <row r="1190" spans="29:30" ht="12.75">
      <c r="AC1190" s="8"/>
      <c r="AD1190" s="8"/>
    </row>
    <row r="1191" spans="29:30" ht="12.75">
      <c r="AC1191" s="8"/>
      <c r="AD1191" s="8"/>
    </row>
    <row r="1192" spans="29:30" ht="12.75">
      <c r="AC1192" s="8"/>
      <c r="AD1192" s="8"/>
    </row>
    <row r="1193" spans="29:30" ht="12.75">
      <c r="AC1193" s="8"/>
      <c r="AD1193" s="8"/>
    </row>
    <row r="1194" spans="29:30" ht="12.75">
      <c r="AC1194" s="8"/>
      <c r="AD1194" s="8"/>
    </row>
    <row r="1195" spans="29:30" ht="12.75">
      <c r="AC1195" s="8"/>
      <c r="AD1195" s="8"/>
    </row>
    <row r="1196" spans="29:30" ht="12.75">
      <c r="AC1196" s="8"/>
      <c r="AD1196" s="8"/>
    </row>
    <row r="1197" spans="29:30" ht="12.75">
      <c r="AC1197" s="8"/>
      <c r="AD1197" s="8"/>
    </row>
    <row r="1198" spans="29:30" ht="12.75">
      <c r="AC1198" s="8"/>
      <c r="AD1198" s="8"/>
    </row>
    <row r="1199" spans="29:30" ht="12.75">
      <c r="AC1199" s="8"/>
      <c r="AD1199" s="8"/>
    </row>
    <row r="1200" spans="29:30" ht="12.75">
      <c r="AC1200" s="8"/>
      <c r="AD1200" s="8"/>
    </row>
    <row r="1201" spans="29:30" ht="12.75">
      <c r="AC1201" s="8"/>
      <c r="AD1201" s="8"/>
    </row>
    <row r="1202" spans="29:30" ht="12.75">
      <c r="AC1202" s="8"/>
      <c r="AD1202" s="8"/>
    </row>
    <row r="1203" spans="29:30" ht="12.75">
      <c r="AC1203" s="8"/>
      <c r="AD1203" s="8"/>
    </row>
    <row r="1204" spans="29:30" ht="12.75">
      <c r="AC1204" s="8"/>
      <c r="AD1204" s="8"/>
    </row>
    <row r="1205" spans="29:30" ht="12.75">
      <c r="AC1205" s="8"/>
      <c r="AD1205" s="8"/>
    </row>
    <row r="1206" spans="29:30" ht="12.75">
      <c r="AC1206" s="8"/>
      <c r="AD1206" s="8"/>
    </row>
    <row r="1207" spans="29:30" ht="12.75">
      <c r="AC1207" s="8"/>
      <c r="AD1207" s="8"/>
    </row>
    <row r="1208" spans="29:30" ht="12.75">
      <c r="AC1208" s="8"/>
      <c r="AD1208" s="8"/>
    </row>
    <row r="1209" spans="29:30" ht="12.75">
      <c r="AC1209" s="8"/>
      <c r="AD1209" s="8"/>
    </row>
    <row r="1210" spans="29:30" ht="12.75">
      <c r="AC1210" s="8"/>
      <c r="AD1210" s="8"/>
    </row>
    <row r="1211" spans="29:30" ht="12.75">
      <c r="AC1211" s="8"/>
      <c r="AD1211" s="8"/>
    </row>
    <row r="1212" spans="29:30" ht="12.75">
      <c r="AC1212" s="8"/>
      <c r="AD1212" s="8"/>
    </row>
    <row r="1213" spans="29:30" ht="12.75">
      <c r="AC1213" s="8"/>
      <c r="AD1213" s="8"/>
    </row>
    <row r="1214" spans="29:30" ht="12.75">
      <c r="AC1214" s="8"/>
      <c r="AD1214" s="8"/>
    </row>
    <row r="1215" spans="29:30" ht="12.75">
      <c r="AC1215" s="8"/>
      <c r="AD1215" s="8"/>
    </row>
    <row r="1216" spans="29:30" ht="12.75">
      <c r="AC1216" s="8"/>
      <c r="AD1216" s="8"/>
    </row>
    <row r="1217" spans="29:30" ht="12.75">
      <c r="AC1217" s="8"/>
      <c r="AD1217" s="8"/>
    </row>
    <row r="1218" spans="29:30" ht="12.75">
      <c r="AC1218" s="8"/>
      <c r="AD1218" s="8"/>
    </row>
    <row r="1219" spans="29:30" ht="12.75">
      <c r="AC1219" s="8"/>
      <c r="AD1219" s="8"/>
    </row>
    <row r="1220" spans="29:30" ht="12.75">
      <c r="AC1220" s="8"/>
      <c r="AD1220" s="8"/>
    </row>
    <row r="1221" spans="29:30" ht="12.75">
      <c r="AC1221" s="8"/>
      <c r="AD1221" s="8"/>
    </row>
    <row r="1222" spans="29:30" ht="12.75">
      <c r="AC1222" s="8"/>
      <c r="AD1222" s="8"/>
    </row>
    <row r="1223" spans="29:30" ht="12.75">
      <c r="AC1223" s="8"/>
      <c r="AD1223" s="8"/>
    </row>
    <row r="1224" spans="29:30" ht="12.75">
      <c r="AC1224" s="8"/>
      <c r="AD1224" s="8"/>
    </row>
    <row r="1225" spans="29:30" ht="12.75">
      <c r="AC1225" s="8"/>
      <c r="AD1225" s="8"/>
    </row>
    <row r="1226" spans="29:30" ht="12.75">
      <c r="AC1226" s="8"/>
      <c r="AD1226" s="8"/>
    </row>
    <row r="1227" spans="29:30" ht="12.75">
      <c r="AC1227" s="8"/>
      <c r="AD1227" s="8"/>
    </row>
    <row r="1228" spans="29:30" ht="12.75">
      <c r="AC1228" s="8"/>
      <c r="AD1228" s="8"/>
    </row>
    <row r="1229" spans="29:30" ht="12.75">
      <c r="AC1229" s="8"/>
      <c r="AD1229" s="8"/>
    </row>
    <row r="1230" spans="29:30" ht="12.75">
      <c r="AC1230" s="8"/>
      <c r="AD1230" s="8"/>
    </row>
    <row r="1231" spans="29:30" ht="12.75">
      <c r="AC1231" s="8"/>
      <c r="AD1231" s="8"/>
    </row>
    <row r="1232" spans="29:30" ht="12.75">
      <c r="AC1232" s="8"/>
      <c r="AD1232" s="8"/>
    </row>
    <row r="1233" spans="29:30" ht="12.75">
      <c r="AC1233" s="8"/>
      <c r="AD1233" s="8"/>
    </row>
    <row r="1234" spans="29:30" ht="12.75">
      <c r="AC1234" s="8"/>
      <c r="AD1234" s="8"/>
    </row>
    <row r="1235" spans="29:30" ht="12.75">
      <c r="AC1235" s="8"/>
      <c r="AD1235" s="8"/>
    </row>
    <row r="1236" spans="29:30" ht="12.75">
      <c r="AC1236" s="8"/>
      <c r="AD1236" s="8"/>
    </row>
    <row r="1237" spans="29:30" ht="12.75">
      <c r="AC1237" s="8"/>
      <c r="AD1237" s="8"/>
    </row>
    <row r="1238" spans="29:30" ht="12.75">
      <c r="AC1238" s="8"/>
      <c r="AD1238" s="8"/>
    </row>
    <row r="1239" spans="29:30" ht="12.75">
      <c r="AC1239" s="8"/>
      <c r="AD1239" s="8"/>
    </row>
    <row r="1240" spans="29:30" ht="12.75">
      <c r="AC1240" s="8"/>
      <c r="AD1240" s="8"/>
    </row>
    <row r="1241" spans="29:30" ht="12.75">
      <c r="AC1241" s="8"/>
      <c r="AD1241" s="8"/>
    </row>
    <row r="1242" spans="29:30" ht="12.75">
      <c r="AC1242" s="8"/>
      <c r="AD1242" s="8"/>
    </row>
    <row r="1243" spans="29:30" ht="12.75">
      <c r="AC1243" s="8"/>
      <c r="AD1243" s="8"/>
    </row>
    <row r="1244" spans="29:30" ht="12.75">
      <c r="AC1244" s="8"/>
      <c r="AD1244" s="8"/>
    </row>
    <row r="1245" spans="29:30" ht="12.75">
      <c r="AC1245" s="8"/>
      <c r="AD1245" s="8"/>
    </row>
    <row r="1246" spans="29:30" ht="12.75">
      <c r="AC1246" s="8"/>
      <c r="AD1246" s="8"/>
    </row>
    <row r="1247" spans="29:30" ht="12.75">
      <c r="AC1247" s="8"/>
      <c r="AD1247" s="8"/>
    </row>
    <row r="1248" spans="29:30" ht="12.75">
      <c r="AC1248" s="8"/>
      <c r="AD1248" s="8"/>
    </row>
    <row r="1249" spans="29:30" ht="12.75">
      <c r="AC1249" s="8"/>
      <c r="AD1249" s="8"/>
    </row>
    <row r="1250" spans="29:30" ht="12.75">
      <c r="AC1250" s="8"/>
      <c r="AD1250" s="8"/>
    </row>
    <row r="1251" spans="29:30" ht="12.75">
      <c r="AC1251" s="8"/>
      <c r="AD1251" s="8"/>
    </row>
    <row r="1252" spans="29:30" ht="12.75">
      <c r="AC1252" s="8"/>
      <c r="AD1252" s="8"/>
    </row>
    <row r="1253" spans="29:30" ht="12.75">
      <c r="AC1253" s="8"/>
      <c r="AD1253" s="8"/>
    </row>
    <row r="1254" spans="29:30" ht="12.75">
      <c r="AC1254" s="8"/>
      <c r="AD1254" s="8"/>
    </row>
    <row r="1255" spans="29:30" ht="12.75">
      <c r="AC1255" s="8"/>
      <c r="AD1255" s="8"/>
    </row>
    <row r="1256" spans="29:30" ht="12.75">
      <c r="AC1256" s="8"/>
      <c r="AD1256" s="8"/>
    </row>
    <row r="1257" spans="29:30" ht="12.75">
      <c r="AC1257" s="8"/>
      <c r="AD1257" s="8"/>
    </row>
    <row r="1258" spans="29:30" ht="12.75">
      <c r="AC1258" s="8"/>
      <c r="AD1258" s="8"/>
    </row>
    <row r="1259" spans="29:30" ht="12.75">
      <c r="AC1259" s="8"/>
      <c r="AD1259" s="8"/>
    </row>
    <row r="1260" spans="29:30" ht="12.75">
      <c r="AC1260" s="8"/>
      <c r="AD1260" s="8"/>
    </row>
    <row r="1261" spans="29:30" ht="12.75">
      <c r="AC1261" s="8"/>
      <c r="AD1261" s="8"/>
    </row>
    <row r="1262" spans="29:30" ht="12.75">
      <c r="AC1262" s="8"/>
      <c r="AD1262" s="8"/>
    </row>
    <row r="1263" spans="29:30" ht="12.75">
      <c r="AC1263" s="8"/>
      <c r="AD1263" s="8"/>
    </row>
    <row r="1264" spans="29:30" ht="12.75">
      <c r="AC1264" s="8"/>
      <c r="AD1264" s="8"/>
    </row>
    <row r="1265" spans="29:30" ht="12.75">
      <c r="AC1265" s="8"/>
      <c r="AD1265" s="8"/>
    </row>
    <row r="1266" spans="29:30" ht="12.75">
      <c r="AC1266" s="8"/>
      <c r="AD1266" s="8"/>
    </row>
    <row r="1267" spans="29:30" ht="12.75">
      <c r="AC1267" s="8"/>
      <c r="AD1267" s="8"/>
    </row>
    <row r="1268" spans="29:30" ht="12.75">
      <c r="AC1268" s="8"/>
      <c r="AD1268" s="8"/>
    </row>
    <row r="1269" spans="29:30" ht="12.75">
      <c r="AC1269" s="8"/>
      <c r="AD1269" s="8"/>
    </row>
    <row r="1270" spans="29:30" ht="12.75">
      <c r="AC1270" s="8"/>
      <c r="AD1270" s="8"/>
    </row>
    <row r="1271" spans="29:30" ht="12.75">
      <c r="AC1271" s="8"/>
      <c r="AD1271" s="8"/>
    </row>
    <row r="1272" spans="29:30" ht="12.75">
      <c r="AC1272" s="8"/>
      <c r="AD1272" s="8"/>
    </row>
    <row r="1273" spans="29:30" ht="12.75">
      <c r="AC1273" s="8"/>
      <c r="AD1273" s="8"/>
    </row>
    <row r="1274" spans="29:30" ht="12.75">
      <c r="AC1274" s="8"/>
      <c r="AD1274" s="8"/>
    </row>
    <row r="1275" spans="29:30" ht="12.75">
      <c r="AC1275" s="8"/>
      <c r="AD1275" s="8"/>
    </row>
    <row r="1276" spans="29:30" ht="12.75">
      <c r="AC1276" s="8"/>
      <c r="AD1276" s="8"/>
    </row>
    <row r="1277" spans="29:30" ht="12.75">
      <c r="AC1277" s="8"/>
      <c r="AD1277" s="8"/>
    </row>
    <row r="1278" spans="29:30" ht="12.75">
      <c r="AC1278" s="8"/>
      <c r="AD1278" s="8"/>
    </row>
    <row r="1279" spans="29:30" ht="12.75">
      <c r="AC1279" s="8"/>
      <c r="AD1279" s="8"/>
    </row>
    <row r="1280" spans="29:30" ht="12.75">
      <c r="AC1280" s="8"/>
      <c r="AD1280" s="8"/>
    </row>
    <row r="1281" spans="29:30" ht="12.75">
      <c r="AC1281" s="8"/>
      <c r="AD1281" s="8"/>
    </row>
    <row r="1282" spans="29:30" ht="12.75">
      <c r="AC1282" s="8"/>
      <c r="AD1282" s="8"/>
    </row>
    <row r="1283" spans="29:30" ht="12.75">
      <c r="AC1283" s="8"/>
      <c r="AD1283" s="8"/>
    </row>
    <row r="1284" spans="29:30" ht="12.75">
      <c r="AC1284" s="8"/>
      <c r="AD1284" s="8"/>
    </row>
    <row r="1285" spans="29:30" ht="12.75">
      <c r="AC1285" s="8"/>
      <c r="AD1285" s="8"/>
    </row>
    <row r="1286" spans="29:30" ht="12.75">
      <c r="AC1286" s="8"/>
      <c r="AD1286" s="8"/>
    </row>
    <row r="1287" spans="29:30" ht="12.75">
      <c r="AC1287" s="8"/>
      <c r="AD1287" s="8"/>
    </row>
    <row r="1288" spans="29:30" ht="12.75">
      <c r="AC1288" s="8"/>
      <c r="AD1288" s="8"/>
    </row>
    <row r="1289" spans="29:30" ht="12.75">
      <c r="AC1289" s="8"/>
      <c r="AD1289" s="8"/>
    </row>
    <row r="1290" spans="29:30" ht="12.75">
      <c r="AC1290" s="8"/>
      <c r="AD1290" s="8"/>
    </row>
    <row r="1291" spans="29:30" ht="12.75">
      <c r="AC1291" s="8"/>
      <c r="AD1291" s="8"/>
    </row>
    <row r="1292" spans="29:30" ht="12.75">
      <c r="AC1292" s="8"/>
      <c r="AD1292" s="8"/>
    </row>
    <row r="1293" spans="29:30" ht="12.75">
      <c r="AC1293" s="8"/>
      <c r="AD1293" s="8"/>
    </row>
    <row r="1294" spans="29:30" ht="12.75">
      <c r="AC1294" s="8"/>
      <c r="AD1294" s="8"/>
    </row>
    <row r="1295" spans="29:30" ht="12.75">
      <c r="AC1295" s="8"/>
      <c r="AD1295" s="8"/>
    </row>
    <row r="1296" spans="29:30" ht="12.75">
      <c r="AC1296" s="8"/>
      <c r="AD1296" s="8"/>
    </row>
    <row r="1297" spans="29:30" ht="12.75">
      <c r="AC1297" s="8"/>
      <c r="AD1297" s="8"/>
    </row>
    <row r="1298" spans="29:30" ht="12.75">
      <c r="AC1298" s="8"/>
      <c r="AD1298" s="8"/>
    </row>
    <row r="1299" spans="29:30" ht="12.75">
      <c r="AC1299" s="8"/>
      <c r="AD1299" s="8"/>
    </row>
    <row r="1300" spans="29:30" ht="12.75">
      <c r="AC1300" s="8"/>
      <c r="AD1300" s="8"/>
    </row>
    <row r="1301" spans="29:30" ht="12.75">
      <c r="AC1301" s="8"/>
      <c r="AD1301" s="8"/>
    </row>
    <row r="1302" spans="29:30" ht="12.75">
      <c r="AC1302" s="8"/>
      <c r="AD1302" s="8"/>
    </row>
    <row r="1303" spans="29:30" ht="12.75">
      <c r="AC1303" s="8"/>
      <c r="AD1303" s="8"/>
    </row>
    <row r="1304" spans="29:30" ht="12.75">
      <c r="AC1304" s="8"/>
      <c r="AD1304" s="8"/>
    </row>
    <row r="1305" spans="29:30" ht="12.75">
      <c r="AC1305" s="8"/>
      <c r="AD1305" s="8"/>
    </row>
    <row r="1306" spans="29:30" ht="12.75">
      <c r="AC1306" s="8"/>
      <c r="AD1306" s="8"/>
    </row>
    <row r="1307" spans="29:30" ht="12.75">
      <c r="AC1307" s="8"/>
      <c r="AD1307" s="8"/>
    </row>
    <row r="1308" spans="29:30" ht="12.75">
      <c r="AC1308" s="8"/>
      <c r="AD1308" s="8"/>
    </row>
    <row r="1309" spans="29:30" ht="12.75">
      <c r="AC1309" s="8"/>
      <c r="AD1309" s="8"/>
    </row>
    <row r="1310" spans="29:30" ht="12.75">
      <c r="AC1310" s="8"/>
      <c r="AD1310" s="8"/>
    </row>
    <row r="1311" spans="29:30" ht="12.75">
      <c r="AC1311" s="8"/>
      <c r="AD1311" s="8"/>
    </row>
    <row r="1312" spans="29:30" ht="12.75">
      <c r="AC1312" s="8"/>
      <c r="AD1312" s="8"/>
    </row>
    <row r="1313" spans="29:30" ht="12.75">
      <c r="AC1313" s="8"/>
      <c r="AD1313" s="8"/>
    </row>
    <row r="1314" spans="29:30" ht="12.75">
      <c r="AC1314" s="8"/>
      <c r="AD1314" s="8"/>
    </row>
    <row r="1315" spans="29:30" ht="12.75">
      <c r="AC1315" s="8"/>
      <c r="AD1315" s="8"/>
    </row>
    <row r="1316" spans="29:30" ht="12.75">
      <c r="AC1316" s="8"/>
      <c r="AD1316" s="8"/>
    </row>
    <row r="1317" spans="29:30" ht="12.75">
      <c r="AC1317" s="8"/>
      <c r="AD1317" s="8"/>
    </row>
    <row r="1318" spans="29:30" ht="12.75">
      <c r="AC1318" s="8"/>
      <c r="AD1318" s="8"/>
    </row>
    <row r="1319" spans="29:30" ht="12.75">
      <c r="AC1319" s="8"/>
      <c r="AD1319" s="8"/>
    </row>
    <row r="1320" spans="29:30" ht="12.75">
      <c r="AC1320" s="8"/>
      <c r="AD1320" s="8"/>
    </row>
    <row r="1321" spans="29:30" ht="12.75">
      <c r="AC1321" s="8"/>
      <c r="AD1321" s="8"/>
    </row>
    <row r="1322" spans="29:30" ht="12.75">
      <c r="AC1322" s="8"/>
      <c r="AD1322" s="8"/>
    </row>
    <row r="1323" spans="29:30" ht="12.75">
      <c r="AC1323" s="8"/>
      <c r="AD1323" s="8"/>
    </row>
    <row r="1324" spans="29:30" ht="12.75">
      <c r="AC1324" s="8"/>
      <c r="AD1324" s="8"/>
    </row>
    <row r="1325" spans="29:30" ht="12.75">
      <c r="AC1325" s="8"/>
      <c r="AD1325" s="8"/>
    </row>
    <row r="1326" spans="29:30" ht="12.75">
      <c r="AC1326" s="8"/>
      <c r="AD1326" s="8"/>
    </row>
    <row r="1327" spans="29:30" ht="12.75">
      <c r="AC1327" s="8"/>
      <c r="AD1327" s="8"/>
    </row>
    <row r="1328" spans="29:30" ht="12.75">
      <c r="AC1328" s="8"/>
      <c r="AD1328" s="8"/>
    </row>
    <row r="1329" spans="29:30" ht="12.75">
      <c r="AC1329" s="8"/>
      <c r="AD1329" s="8"/>
    </row>
    <row r="1330" spans="29:30" ht="12.75">
      <c r="AC1330" s="8"/>
      <c r="AD1330" s="8"/>
    </row>
    <row r="1331" spans="29:30" ht="12.75">
      <c r="AC1331" s="8"/>
      <c r="AD1331" s="8"/>
    </row>
    <row r="1332" spans="29:30" ht="12.75">
      <c r="AC1332" s="8"/>
      <c r="AD1332" s="8"/>
    </row>
    <row r="1333" spans="29:30" ht="12.75">
      <c r="AC1333" s="8"/>
      <c r="AD1333" s="8"/>
    </row>
    <row r="1334" spans="29:30" ht="12.75">
      <c r="AC1334" s="8"/>
      <c r="AD1334" s="8"/>
    </row>
    <row r="1335" spans="29:30" ht="12.75">
      <c r="AC1335" s="8"/>
      <c r="AD1335" s="8"/>
    </row>
    <row r="1336" spans="29:30" ht="12.75">
      <c r="AC1336" s="8"/>
      <c r="AD1336" s="8"/>
    </row>
    <row r="1337" spans="29:30" ht="12.75">
      <c r="AC1337" s="8"/>
      <c r="AD1337" s="8"/>
    </row>
    <row r="1338" spans="29:30" ht="12.75">
      <c r="AC1338" s="8"/>
      <c r="AD1338" s="8"/>
    </row>
    <row r="1339" spans="29:30" ht="12.75">
      <c r="AC1339" s="8"/>
      <c r="AD1339" s="8"/>
    </row>
    <row r="1340" spans="29:30" ht="12.75">
      <c r="AC1340" s="8"/>
      <c r="AD1340" s="8"/>
    </row>
    <row r="1341" spans="29:30" ht="12.75">
      <c r="AC1341" s="8"/>
      <c r="AD1341" s="8"/>
    </row>
    <row r="1342" spans="29:30" ht="12.75">
      <c r="AC1342" s="8"/>
      <c r="AD1342" s="8"/>
    </row>
    <row r="1343" spans="29:30" ht="12.75">
      <c r="AC1343" s="8"/>
      <c r="AD1343" s="8"/>
    </row>
    <row r="1344" spans="29:30" ht="12.75">
      <c r="AC1344" s="8"/>
      <c r="AD1344" s="8"/>
    </row>
    <row r="1345" spans="29:30" ht="12.75">
      <c r="AC1345" s="8"/>
      <c r="AD1345" s="8"/>
    </row>
    <row r="1346" spans="29:30" ht="12.75">
      <c r="AC1346" s="8"/>
      <c r="AD1346" s="8"/>
    </row>
    <row r="1347" spans="29:30" ht="12.75">
      <c r="AC1347" s="8"/>
      <c r="AD1347" s="8"/>
    </row>
    <row r="1348" spans="29:30" ht="12.75">
      <c r="AC1348" s="8"/>
      <c r="AD1348" s="8"/>
    </row>
    <row r="1349" spans="29:30" ht="12.75">
      <c r="AC1349" s="8"/>
      <c r="AD1349" s="8"/>
    </row>
    <row r="1350" spans="29:30" ht="12.75">
      <c r="AC1350" s="8"/>
      <c r="AD1350" s="8"/>
    </row>
    <row r="1351" spans="29:30" ht="12.75">
      <c r="AC1351" s="8"/>
      <c r="AD1351" s="8"/>
    </row>
    <row r="1352" spans="29:30" ht="12.75">
      <c r="AC1352" s="8"/>
      <c r="AD1352" s="8"/>
    </row>
    <row r="1353" spans="29:30" ht="12.75">
      <c r="AC1353" s="8"/>
      <c r="AD1353" s="8"/>
    </row>
    <row r="1354" spans="29:30" ht="12.75">
      <c r="AC1354" s="8"/>
      <c r="AD1354" s="8"/>
    </row>
    <row r="1355" spans="29:30" ht="12.75">
      <c r="AC1355" s="8"/>
      <c r="AD1355" s="8"/>
    </row>
    <row r="1356" spans="29:30" ht="12.75">
      <c r="AC1356" s="8"/>
      <c r="AD1356" s="8"/>
    </row>
    <row r="1357" spans="29:30" ht="12.75">
      <c r="AC1357" s="8"/>
      <c r="AD1357" s="8"/>
    </row>
    <row r="1358" spans="29:30" ht="12.75">
      <c r="AC1358" s="8"/>
      <c r="AD1358" s="8"/>
    </row>
    <row r="1359" spans="29:30" ht="12.75">
      <c r="AC1359" s="8"/>
      <c r="AD1359" s="8"/>
    </row>
    <row r="1360" spans="29:30" ht="12.75">
      <c r="AC1360" s="8"/>
      <c r="AD1360" s="8"/>
    </row>
    <row r="1361" spans="29:30" ht="12.75">
      <c r="AC1361" s="8"/>
      <c r="AD1361" s="8"/>
    </row>
    <row r="1362" spans="29:30" ht="12.75">
      <c r="AC1362" s="8"/>
      <c r="AD1362" s="8"/>
    </row>
    <row r="1363" spans="29:30" ht="12.75">
      <c r="AC1363" s="8"/>
      <c r="AD1363" s="8"/>
    </row>
    <row r="1364" spans="29:30" ht="12.75">
      <c r="AC1364" s="8"/>
      <c r="AD1364" s="8"/>
    </row>
    <row r="1365" spans="29:30" ht="12.75">
      <c r="AC1365" s="8"/>
      <c r="AD1365" s="8"/>
    </row>
    <row r="1366" spans="29:30" ht="12.75">
      <c r="AC1366" s="8"/>
      <c r="AD1366" s="8"/>
    </row>
    <row r="1367" spans="29:30" ht="12.75">
      <c r="AC1367" s="8"/>
      <c r="AD1367" s="8"/>
    </row>
    <row r="1368" spans="29:30" ht="12.75">
      <c r="AC1368" s="8"/>
      <c r="AD1368" s="8"/>
    </row>
    <row r="1369" spans="29:30" ht="12.75">
      <c r="AC1369" s="8"/>
      <c r="AD1369" s="8"/>
    </row>
    <row r="1370" spans="29:30" ht="12.75">
      <c r="AC1370" s="8"/>
      <c r="AD1370" s="8"/>
    </row>
    <row r="1371" spans="29:30" ht="12.75">
      <c r="AC1371" s="8"/>
      <c r="AD1371" s="8"/>
    </row>
    <row r="1372" spans="29:30" ht="12.75">
      <c r="AC1372" s="8"/>
      <c r="AD1372" s="8"/>
    </row>
    <row r="1373" spans="29:30" ht="12.75">
      <c r="AC1373" s="8"/>
      <c r="AD1373" s="8"/>
    </row>
    <row r="1374" spans="29:30" ht="12.75">
      <c r="AC1374" s="8"/>
      <c r="AD1374" s="8"/>
    </row>
    <row r="1375" spans="29:30" ht="12.75">
      <c r="AC1375" s="8"/>
      <c r="AD1375" s="8"/>
    </row>
    <row r="1376" spans="29:30" ht="12.75">
      <c r="AC1376" s="8"/>
      <c r="AD1376" s="8"/>
    </row>
    <row r="1377" spans="29:30" ht="12.75">
      <c r="AC1377" s="8"/>
      <c r="AD1377" s="8"/>
    </row>
    <row r="1378" spans="29:30" ht="12.75">
      <c r="AC1378" s="8"/>
      <c r="AD1378" s="8"/>
    </row>
    <row r="1379" spans="29:30" ht="12.75">
      <c r="AC1379" s="8"/>
      <c r="AD1379" s="8"/>
    </row>
    <row r="1380" spans="29:30" ht="12.75">
      <c r="AC1380" s="8"/>
      <c r="AD1380" s="8"/>
    </row>
    <row r="1381" spans="29:30" ht="12.75">
      <c r="AC1381" s="8"/>
      <c r="AD1381" s="8"/>
    </row>
    <row r="1382" spans="29:30" ht="12.75">
      <c r="AC1382" s="8"/>
      <c r="AD1382" s="8"/>
    </row>
    <row r="1383" spans="29:30" ht="12.75">
      <c r="AC1383" s="8"/>
      <c r="AD1383" s="8"/>
    </row>
    <row r="1384" spans="29:30" ht="12.75">
      <c r="AC1384" s="8"/>
      <c r="AD1384" s="8"/>
    </row>
    <row r="1385" spans="29:30" ht="12.75">
      <c r="AC1385" s="8"/>
      <c r="AD1385" s="8"/>
    </row>
    <row r="1386" spans="29:30" ht="12.75">
      <c r="AC1386" s="8"/>
      <c r="AD1386" s="8"/>
    </row>
    <row r="1387" spans="29:30" ht="12.75">
      <c r="AC1387" s="8"/>
      <c r="AD1387" s="8"/>
    </row>
    <row r="1388" spans="29:30" ht="12.75">
      <c r="AC1388" s="8"/>
      <c r="AD1388" s="8"/>
    </row>
    <row r="1389" spans="29:30" ht="12.75">
      <c r="AC1389" s="8"/>
      <c r="AD1389" s="8"/>
    </row>
    <row r="1390" spans="29:30" ht="12.75">
      <c r="AC1390" s="8"/>
      <c r="AD1390" s="8"/>
    </row>
    <row r="1391" spans="29:30" ht="12.75">
      <c r="AC1391" s="8"/>
      <c r="AD1391" s="8"/>
    </row>
    <row r="1392" spans="29:30" ht="12.75">
      <c r="AC1392" s="8"/>
      <c r="AD1392" s="8"/>
    </row>
    <row r="1393" spans="29:30" ht="12.75">
      <c r="AC1393" s="8"/>
      <c r="AD1393" s="8"/>
    </row>
    <row r="1394" spans="29:30" ht="12.75">
      <c r="AC1394" s="8"/>
      <c r="AD1394" s="8"/>
    </row>
    <row r="1395" spans="29:30" ht="12.75">
      <c r="AC1395" s="8"/>
      <c r="AD1395" s="8"/>
    </row>
    <row r="1396" spans="29:30" ht="12.75">
      <c r="AC1396" s="8"/>
      <c r="AD1396" s="8"/>
    </row>
    <row r="1397" spans="29:30" ht="12.75">
      <c r="AC1397" s="8"/>
      <c r="AD1397" s="8"/>
    </row>
    <row r="1398" spans="29:30" ht="12.75">
      <c r="AC1398" s="8"/>
      <c r="AD1398" s="8"/>
    </row>
    <row r="1399" spans="29:30" ht="12.75">
      <c r="AC1399" s="8"/>
      <c r="AD1399" s="8"/>
    </row>
    <row r="1400" spans="29:30" ht="12.75">
      <c r="AC1400" s="8"/>
      <c r="AD1400" s="8"/>
    </row>
    <row r="1401" spans="29:30" ht="12.75">
      <c r="AC1401" s="8"/>
      <c r="AD1401" s="8"/>
    </row>
    <row r="1402" spans="29:30" ht="12.75">
      <c r="AC1402" s="8"/>
      <c r="AD1402" s="8"/>
    </row>
    <row r="1403" spans="29:30" ht="12.75">
      <c r="AC1403" s="8"/>
      <c r="AD1403" s="8"/>
    </row>
    <row r="1404" spans="29:30" ht="12.75">
      <c r="AC1404" s="8"/>
      <c r="AD1404" s="8"/>
    </row>
    <row r="1405" spans="29:30" ht="12.75">
      <c r="AC1405" s="8"/>
      <c r="AD1405" s="8"/>
    </row>
    <row r="1406" spans="29:30" ht="12.75">
      <c r="AC1406" s="8"/>
      <c r="AD1406" s="8"/>
    </row>
    <row r="1407" spans="29:30" ht="12.75">
      <c r="AC1407" s="8"/>
      <c r="AD1407" s="8"/>
    </row>
    <row r="1408" spans="29:30" ht="12.75">
      <c r="AC1408" s="8"/>
      <c r="AD1408" s="8"/>
    </row>
    <row r="1409" spans="29:30" ht="12.75">
      <c r="AC1409" s="8"/>
      <c r="AD1409" s="8"/>
    </row>
    <row r="1410" spans="29:30" ht="12.75">
      <c r="AC1410" s="8"/>
      <c r="AD1410" s="8"/>
    </row>
    <row r="1411" spans="29:30" ht="12.75">
      <c r="AC1411" s="8"/>
      <c r="AD1411" s="8"/>
    </row>
    <row r="1412" spans="29:30" ht="12.75">
      <c r="AC1412" s="8"/>
      <c r="AD1412" s="8"/>
    </row>
    <row r="1413" spans="29:30" ht="12.75">
      <c r="AC1413" s="8"/>
      <c r="AD1413" s="8"/>
    </row>
    <row r="1414" spans="29:30" ht="12.75">
      <c r="AC1414" s="8"/>
      <c r="AD1414" s="8"/>
    </row>
    <row r="1415" spans="29:30" ht="12.75">
      <c r="AC1415" s="8"/>
      <c r="AD1415" s="8"/>
    </row>
    <row r="1416" spans="29:30" ht="12.75">
      <c r="AC1416" s="8"/>
      <c r="AD1416" s="8"/>
    </row>
    <row r="1417" spans="29:30" ht="12.75">
      <c r="AC1417" s="8"/>
      <c r="AD1417" s="8"/>
    </row>
    <row r="1418" spans="29:30" ht="12.75">
      <c r="AC1418" s="8"/>
      <c r="AD1418" s="8"/>
    </row>
    <row r="1419" spans="29:30" ht="12.75">
      <c r="AC1419" s="8"/>
      <c r="AD1419" s="8"/>
    </row>
    <row r="1420" spans="29:30" ht="12.75">
      <c r="AC1420" s="8"/>
      <c r="AD1420" s="8"/>
    </row>
    <row r="1421" spans="29:30" ht="12.75">
      <c r="AC1421" s="8"/>
      <c r="AD1421" s="8"/>
    </row>
    <row r="1422" spans="29:30" ht="12.75">
      <c r="AC1422" s="8"/>
      <c r="AD1422" s="8"/>
    </row>
    <row r="1423" spans="29:30" ht="12.75">
      <c r="AC1423" s="8"/>
      <c r="AD1423" s="8"/>
    </row>
    <row r="1424" spans="29:30" ht="12.75">
      <c r="AC1424" s="8"/>
      <c r="AD1424" s="8"/>
    </row>
    <row r="1425" spans="29:30" ht="12.75">
      <c r="AC1425" s="8"/>
      <c r="AD1425" s="8"/>
    </row>
    <row r="1426" spans="29:30" ht="12.75">
      <c r="AC1426" s="8"/>
      <c r="AD1426" s="8"/>
    </row>
    <row r="1427" spans="29:30" ht="12.75">
      <c r="AC1427" s="8"/>
      <c r="AD1427" s="8"/>
    </row>
    <row r="1428" spans="29:30" ht="12.75">
      <c r="AC1428" s="8"/>
      <c r="AD1428" s="8"/>
    </row>
    <row r="1429" spans="29:30" ht="12.75">
      <c r="AC1429" s="8"/>
      <c r="AD1429" s="8"/>
    </row>
    <row r="1430" spans="29:30" ht="12.75">
      <c r="AC1430" s="8"/>
      <c r="AD1430" s="8"/>
    </row>
    <row r="1431" spans="29:30" ht="12.75">
      <c r="AC1431" s="8"/>
      <c r="AD1431" s="8"/>
    </row>
    <row r="1432" spans="29:30" ht="12.75">
      <c r="AC1432" s="8"/>
      <c r="AD1432" s="8"/>
    </row>
    <row r="1433" spans="29:30" ht="12.75">
      <c r="AC1433" s="8"/>
      <c r="AD1433" s="8"/>
    </row>
    <row r="1434" spans="29:30" ht="12.75">
      <c r="AC1434" s="8"/>
      <c r="AD1434" s="8"/>
    </row>
    <row r="1435" spans="29:30" ht="12.75">
      <c r="AC1435" s="8"/>
      <c r="AD1435" s="8"/>
    </row>
    <row r="1436" spans="29:30" ht="12.75">
      <c r="AC1436" s="8"/>
      <c r="AD1436" s="8"/>
    </row>
    <row r="1437" spans="29:30" ht="12.75">
      <c r="AC1437" s="8"/>
      <c r="AD1437" s="8"/>
    </row>
    <row r="1438" spans="29:30" ht="12.75">
      <c r="AC1438" s="8"/>
      <c r="AD1438" s="8"/>
    </row>
    <row r="1439" spans="29:30" ht="12.75">
      <c r="AC1439" s="8"/>
      <c r="AD1439" s="8"/>
    </row>
    <row r="1440" spans="29:30" ht="12.75">
      <c r="AC1440" s="8"/>
      <c r="AD1440" s="8"/>
    </row>
    <row r="1441" spans="29:30" ht="12.75">
      <c r="AC1441" s="8"/>
      <c r="AD1441" s="8"/>
    </row>
    <row r="1442" spans="29:30" ht="12.75">
      <c r="AC1442" s="8"/>
      <c r="AD1442" s="8"/>
    </row>
    <row r="1443" spans="29:30" ht="12.75">
      <c r="AC1443" s="8"/>
      <c r="AD1443" s="8"/>
    </row>
    <row r="1444" spans="29:30" ht="12.75">
      <c r="AC1444" s="8"/>
      <c r="AD1444" s="8"/>
    </row>
    <row r="1445" spans="29:30" ht="12.75">
      <c r="AC1445" s="8"/>
      <c r="AD1445" s="8"/>
    </row>
    <row r="1446" spans="29:30" ht="12.75">
      <c r="AC1446" s="8"/>
      <c r="AD1446" s="8"/>
    </row>
    <row r="1447" spans="29:30" ht="12.75">
      <c r="AC1447" s="8"/>
      <c r="AD1447" s="8"/>
    </row>
    <row r="1448" spans="29:30" ht="12.75">
      <c r="AC1448" s="8"/>
      <c r="AD1448" s="8"/>
    </row>
    <row r="1449" spans="29:30" ht="12.75">
      <c r="AC1449" s="8"/>
      <c r="AD1449" s="8"/>
    </row>
    <row r="1450" spans="29:30" ht="12.75">
      <c r="AC1450" s="8"/>
      <c r="AD1450" s="8"/>
    </row>
    <row r="1451" spans="29:30" ht="12.75">
      <c r="AC1451" s="8"/>
      <c r="AD1451" s="8"/>
    </row>
    <row r="1452" spans="29:30" ht="12.75">
      <c r="AC1452" s="8"/>
      <c r="AD1452" s="8"/>
    </row>
    <row r="1453" spans="29:30" ht="12.75">
      <c r="AC1453" s="8"/>
      <c r="AD1453" s="8"/>
    </row>
    <row r="1454" spans="29:30" ht="12.75">
      <c r="AC1454" s="8"/>
      <c r="AD1454" s="8"/>
    </row>
    <row r="1455" spans="29:30" ht="12.75">
      <c r="AC1455" s="8"/>
      <c r="AD1455" s="8"/>
    </row>
    <row r="1456" spans="29:30" ht="12.75">
      <c r="AC1456" s="8"/>
      <c r="AD1456" s="8"/>
    </row>
    <row r="1457" spans="29:30" ht="12.75">
      <c r="AC1457" s="8"/>
      <c r="AD1457" s="8"/>
    </row>
    <row r="1458" spans="29:30" ht="12.75">
      <c r="AC1458" s="8"/>
      <c r="AD1458" s="8"/>
    </row>
    <row r="1459" spans="29:30" ht="12.75">
      <c r="AC1459" s="8"/>
      <c r="AD1459" s="8"/>
    </row>
    <row r="1460" spans="29:30" ht="12.75">
      <c r="AC1460" s="8"/>
      <c r="AD1460" s="8"/>
    </row>
    <row r="1461" spans="29:30" ht="12.75">
      <c r="AC1461" s="8"/>
      <c r="AD1461" s="8"/>
    </row>
    <row r="1462" spans="29:30" ht="12.75">
      <c r="AC1462" s="8"/>
      <c r="AD1462" s="8"/>
    </row>
    <row r="1463" spans="29:30" ht="12.75">
      <c r="AC1463" s="8"/>
      <c r="AD1463" s="8"/>
    </row>
    <row r="1464" spans="29:30" ht="12.75">
      <c r="AC1464" s="8"/>
      <c r="AD1464" s="8"/>
    </row>
    <row r="1465" spans="29:30" ht="12.75">
      <c r="AC1465" s="8"/>
      <c r="AD1465" s="8"/>
    </row>
    <row r="1466" spans="29:30" ht="12.75">
      <c r="AC1466" s="8"/>
      <c r="AD1466" s="8"/>
    </row>
    <row r="1467" spans="29:30" ht="12.75">
      <c r="AC1467" s="8"/>
      <c r="AD1467" s="8"/>
    </row>
    <row r="1468" spans="29:30" ht="12.75">
      <c r="AC1468" s="8"/>
      <c r="AD1468" s="8"/>
    </row>
    <row r="1469" spans="29:30" ht="12.75">
      <c r="AC1469" s="8"/>
      <c r="AD1469" s="8"/>
    </row>
    <row r="1470" spans="29:30" ht="12.75">
      <c r="AC1470" s="8"/>
      <c r="AD1470" s="8"/>
    </row>
    <row r="1471" spans="29:30" ht="12.75">
      <c r="AC1471" s="8"/>
      <c r="AD1471" s="8"/>
    </row>
    <row r="1472" spans="29:30" ht="12.75">
      <c r="AC1472" s="8"/>
      <c r="AD1472" s="8"/>
    </row>
    <row r="1473" spans="29:30" ht="12.75">
      <c r="AC1473" s="8"/>
      <c r="AD1473" s="8"/>
    </row>
    <row r="1474" spans="29:30" ht="12.75">
      <c r="AC1474" s="8"/>
      <c r="AD1474" s="8"/>
    </row>
    <row r="1475" spans="29:30" ht="12.75">
      <c r="AC1475" s="8"/>
      <c r="AD1475" s="8"/>
    </row>
    <row r="1476" spans="29:30" ht="12.75">
      <c r="AC1476" s="8"/>
      <c r="AD1476" s="8"/>
    </row>
    <row r="1477" spans="29:30" ht="12.75">
      <c r="AC1477" s="8"/>
      <c r="AD1477" s="8"/>
    </row>
    <row r="1478" spans="29:30" ht="12.75">
      <c r="AC1478" s="8"/>
      <c r="AD1478" s="8"/>
    </row>
    <row r="1479" spans="29:30" ht="12.75">
      <c r="AC1479" s="8"/>
      <c r="AD1479" s="8"/>
    </row>
    <row r="1480" spans="29:30" ht="12.75">
      <c r="AC1480" s="8"/>
      <c r="AD1480" s="8"/>
    </row>
    <row r="1481" spans="29:30" ht="12.75">
      <c r="AC1481" s="8"/>
      <c r="AD1481" s="8"/>
    </row>
    <row r="1482" spans="29:30" ht="12.75">
      <c r="AC1482" s="8"/>
      <c r="AD1482" s="8"/>
    </row>
    <row r="1483" spans="29:30" ht="12.75">
      <c r="AC1483" s="8"/>
      <c r="AD1483" s="8"/>
    </row>
    <row r="1484" spans="29:30" ht="12.75">
      <c r="AC1484" s="8"/>
      <c r="AD1484" s="8"/>
    </row>
    <row r="1485" spans="29:30" ht="12.75">
      <c r="AC1485" s="8"/>
      <c r="AD1485" s="8"/>
    </row>
    <row r="1486" spans="29:30" ht="12.75">
      <c r="AC1486" s="8"/>
      <c r="AD1486" s="8"/>
    </row>
    <row r="1487" spans="29:30" ht="12.75">
      <c r="AC1487" s="8"/>
      <c r="AD1487" s="8"/>
    </row>
    <row r="1488" spans="29:30" ht="12.75">
      <c r="AC1488" s="8"/>
      <c r="AD1488" s="8"/>
    </row>
    <row r="1489" spans="29:30" ht="12.75">
      <c r="AC1489" s="8"/>
      <c r="AD1489" s="8"/>
    </row>
    <row r="1490" spans="29:30" ht="12.75">
      <c r="AC1490" s="8"/>
      <c r="AD1490" s="8"/>
    </row>
    <row r="1491" spans="29:30" ht="12.75">
      <c r="AC1491" s="8"/>
      <c r="AD1491" s="8"/>
    </row>
    <row r="1492" spans="29:30" ht="12.75">
      <c r="AC1492" s="8"/>
      <c r="AD1492" s="8"/>
    </row>
    <row r="1493" spans="29:30" ht="12.75">
      <c r="AC1493" s="8"/>
      <c r="AD1493" s="8"/>
    </row>
    <row r="1494" spans="29:30" ht="12.75">
      <c r="AC1494" s="8"/>
      <c r="AD1494" s="8"/>
    </row>
    <row r="1495" spans="29:30" ht="12.75">
      <c r="AC1495" s="8"/>
      <c r="AD1495" s="8"/>
    </row>
    <row r="1496" spans="29:30" ht="12.75">
      <c r="AC1496" s="8"/>
      <c r="AD1496" s="8"/>
    </row>
    <row r="1497" spans="29:30" ht="12.75">
      <c r="AC1497" s="8"/>
      <c r="AD1497" s="8"/>
    </row>
    <row r="1498" spans="29:30" ht="12.75">
      <c r="AC1498" s="8"/>
      <c r="AD1498" s="8"/>
    </row>
    <row r="1499" spans="29:30" ht="12.75">
      <c r="AC1499" s="8"/>
      <c r="AD1499" s="8"/>
    </row>
    <row r="1500" spans="29:30" ht="12.75">
      <c r="AC1500" s="8"/>
      <c r="AD1500" s="8"/>
    </row>
    <row r="1501" spans="29:30" ht="12.75">
      <c r="AC1501" s="8"/>
      <c r="AD1501" s="8"/>
    </row>
    <row r="1502" spans="29:30" ht="12.75">
      <c r="AC1502" s="8"/>
      <c r="AD1502" s="8"/>
    </row>
    <row r="1503" spans="29:30" ht="12.75">
      <c r="AC1503" s="8"/>
      <c r="AD1503" s="8"/>
    </row>
    <row r="1504" spans="29:30" ht="12.75">
      <c r="AC1504" s="8"/>
      <c r="AD1504" s="8"/>
    </row>
    <row r="1505" spans="29:30" ht="12.75">
      <c r="AC1505" s="8"/>
      <c r="AD1505" s="8"/>
    </row>
    <row r="1506" spans="29:30" ht="12.75">
      <c r="AC1506" s="8"/>
      <c r="AD1506" s="8"/>
    </row>
    <row r="1507" spans="29:30" ht="12.75">
      <c r="AC1507" s="8"/>
      <c r="AD1507" s="8"/>
    </row>
    <row r="1508" spans="29:30" ht="12.75">
      <c r="AC1508" s="8"/>
      <c r="AD1508" s="8"/>
    </row>
    <row r="1509" spans="29:30" ht="12.75">
      <c r="AC1509" s="8"/>
      <c r="AD1509" s="8"/>
    </row>
    <row r="1510" spans="29:30" ht="12.75">
      <c r="AC1510" s="8"/>
      <c r="AD1510" s="8"/>
    </row>
    <row r="1511" spans="29:30" ht="12.75">
      <c r="AC1511" s="8"/>
      <c r="AD1511" s="8"/>
    </row>
    <row r="1512" spans="29:30" ht="12.75">
      <c r="AC1512" s="8"/>
      <c r="AD1512" s="8"/>
    </row>
    <row r="1513" spans="29:30" ht="12.75">
      <c r="AC1513" s="8"/>
      <c r="AD1513" s="8"/>
    </row>
    <row r="1514" spans="29:30" ht="12.75">
      <c r="AC1514" s="8"/>
      <c r="AD1514" s="8"/>
    </row>
    <row r="1515" spans="29:30" ht="12.75">
      <c r="AC1515" s="8"/>
      <c r="AD1515" s="8"/>
    </row>
    <row r="1516" spans="29:30" ht="12.75">
      <c r="AC1516" s="8"/>
      <c r="AD1516" s="8"/>
    </row>
    <row r="1517" spans="29:30" ht="12.75">
      <c r="AC1517" s="8"/>
      <c r="AD1517" s="8"/>
    </row>
    <row r="1518" spans="29:30" ht="12.75">
      <c r="AC1518" s="8"/>
      <c r="AD1518" s="8"/>
    </row>
    <row r="1519" spans="29:30" ht="12.75">
      <c r="AC1519" s="8"/>
      <c r="AD1519" s="8"/>
    </row>
    <row r="1520" spans="29:30" ht="12.75">
      <c r="AC1520" s="8"/>
      <c r="AD1520" s="8"/>
    </row>
    <row r="1521" spans="29:30" ht="12.75">
      <c r="AC1521" s="8"/>
      <c r="AD1521" s="8"/>
    </row>
    <row r="1522" spans="29:30" ht="12.75">
      <c r="AC1522" s="8"/>
      <c r="AD1522" s="8"/>
    </row>
    <row r="1523" spans="29:30" ht="12.75">
      <c r="AC1523" s="8"/>
      <c r="AD1523" s="8"/>
    </row>
    <row r="1524" spans="29:30" ht="12.75">
      <c r="AC1524" s="8"/>
      <c r="AD1524" s="8"/>
    </row>
    <row r="1525" spans="29:30" ht="12.75">
      <c r="AC1525" s="8"/>
      <c r="AD1525" s="8"/>
    </row>
    <row r="1526" spans="29:30" ht="12.75">
      <c r="AC1526" s="8"/>
      <c r="AD1526" s="8"/>
    </row>
    <row r="1527" spans="29:30" ht="12.75">
      <c r="AC1527" s="8"/>
      <c r="AD1527" s="8"/>
    </row>
    <row r="1528" spans="29:30" ht="12.75">
      <c r="AC1528" s="8"/>
      <c r="AD1528" s="8"/>
    </row>
    <row r="1529" spans="29:30" ht="12.75">
      <c r="AC1529" s="8"/>
      <c r="AD1529" s="8"/>
    </row>
    <row r="1530" spans="29:30" ht="12.75">
      <c r="AC1530" s="8"/>
      <c r="AD1530" s="8"/>
    </row>
    <row r="1531" spans="29:30" ht="12.75">
      <c r="AC1531" s="8"/>
      <c r="AD1531" s="8"/>
    </row>
    <row r="1532" spans="29:30" ht="12.75">
      <c r="AC1532" s="8"/>
      <c r="AD1532" s="8"/>
    </row>
    <row r="1533" spans="29:30" ht="12.75">
      <c r="AC1533" s="8"/>
      <c r="AD1533" s="8"/>
    </row>
    <row r="1534" spans="29:30" ht="12.75">
      <c r="AC1534" s="8"/>
      <c r="AD1534" s="8"/>
    </row>
    <row r="1535" spans="29:30" ht="12.75">
      <c r="AC1535" s="8"/>
      <c r="AD1535" s="8"/>
    </row>
    <row r="1536" spans="29:30" ht="12.75">
      <c r="AC1536" s="8"/>
      <c r="AD1536" s="8"/>
    </row>
    <row r="1537" spans="29:30" ht="12.75">
      <c r="AC1537" s="8"/>
      <c r="AD1537" s="8"/>
    </row>
    <row r="1538" spans="29:30" ht="12.75">
      <c r="AC1538" s="8"/>
      <c r="AD1538" s="8"/>
    </row>
    <row r="1539" spans="29:30" ht="12.75">
      <c r="AC1539" s="8"/>
      <c r="AD1539" s="8"/>
    </row>
    <row r="1540" spans="29:30" ht="12.75">
      <c r="AC1540" s="8"/>
      <c r="AD1540" s="8"/>
    </row>
    <row r="1541" spans="29:30" ht="12.75">
      <c r="AC1541" s="8"/>
      <c r="AD1541" s="8"/>
    </row>
    <row r="1542" spans="29:30" ht="12.75">
      <c r="AC1542" s="8"/>
      <c r="AD1542" s="8"/>
    </row>
    <row r="1543" spans="29:30" ht="12.75">
      <c r="AC1543" s="8"/>
      <c r="AD1543" s="8"/>
    </row>
    <row r="1544" spans="29:30" ht="12.75">
      <c r="AC1544" s="8"/>
      <c r="AD1544" s="8"/>
    </row>
    <row r="1545" spans="29:30" ht="12.75">
      <c r="AC1545" s="8"/>
      <c r="AD1545" s="8"/>
    </row>
    <row r="1546" spans="29:30" ht="12.75">
      <c r="AC1546" s="8"/>
      <c r="AD1546" s="8"/>
    </row>
    <row r="1547" spans="29:30" ht="12.75">
      <c r="AC1547" s="8"/>
      <c r="AD1547" s="8"/>
    </row>
    <row r="1548" spans="29:30" ht="12.75">
      <c r="AC1548" s="8"/>
      <c r="AD1548" s="8"/>
    </row>
    <row r="1549" spans="29:30" ht="12.75">
      <c r="AC1549" s="8"/>
      <c r="AD1549" s="8"/>
    </row>
    <row r="1550" spans="29:30" ht="12.75">
      <c r="AC1550" s="8"/>
      <c r="AD1550" s="8"/>
    </row>
    <row r="1551" spans="29:30" ht="12.75">
      <c r="AC1551" s="8"/>
      <c r="AD1551" s="8"/>
    </row>
    <row r="1552" spans="29:30" ht="12.75">
      <c r="AC1552" s="8"/>
      <c r="AD1552" s="8"/>
    </row>
    <row r="1553" spans="29:30" ht="12.75">
      <c r="AC1553" s="8"/>
      <c r="AD1553" s="8"/>
    </row>
    <row r="1554" spans="29:30" ht="12.75">
      <c r="AC1554" s="8"/>
      <c r="AD1554" s="8"/>
    </row>
    <row r="1555" spans="29:30" ht="12.75">
      <c r="AC1555" s="8"/>
      <c r="AD1555" s="8"/>
    </row>
    <row r="1556" spans="29:30" ht="12.75">
      <c r="AC1556" s="8"/>
      <c r="AD1556" s="8"/>
    </row>
    <row r="1557" spans="29:30" ht="12.75">
      <c r="AC1557" s="8"/>
      <c r="AD1557" s="8"/>
    </row>
    <row r="1558" spans="29:30" ht="12.75">
      <c r="AC1558" s="8"/>
      <c r="AD1558" s="8"/>
    </row>
    <row r="1559" spans="29:30" ht="12.75">
      <c r="AC1559" s="8"/>
      <c r="AD1559" s="8"/>
    </row>
    <row r="1560" spans="29:30" ht="12.75">
      <c r="AC1560" s="8"/>
      <c r="AD1560" s="8"/>
    </row>
    <row r="1561" spans="29:30" ht="12.75">
      <c r="AC1561" s="8"/>
      <c r="AD1561" s="8"/>
    </row>
    <row r="1562" spans="29:30" ht="12.75">
      <c r="AC1562" s="8"/>
      <c r="AD1562" s="8"/>
    </row>
    <row r="1563" spans="29:30" ht="12.75">
      <c r="AC1563" s="8"/>
      <c r="AD1563" s="8"/>
    </row>
    <row r="1564" spans="29:30" ht="12.75">
      <c r="AC1564" s="8"/>
      <c r="AD1564" s="8"/>
    </row>
    <row r="1565" spans="29:30" ht="12.75">
      <c r="AC1565" s="8"/>
      <c r="AD1565" s="8"/>
    </row>
    <row r="1566" spans="29:30" ht="12.75">
      <c r="AC1566" s="8"/>
      <c r="AD1566" s="8"/>
    </row>
    <row r="1567" spans="29:30" ht="12.75">
      <c r="AC1567" s="8"/>
      <c r="AD1567" s="8"/>
    </row>
    <row r="1568" spans="29:30" ht="12.75">
      <c r="AC1568" s="8"/>
      <c r="AD1568" s="8"/>
    </row>
    <row r="1569" spans="29:30" ht="12.75">
      <c r="AC1569" s="8"/>
      <c r="AD1569" s="8"/>
    </row>
    <row r="1570" spans="29:30" ht="12.75">
      <c r="AC1570" s="8"/>
      <c r="AD1570" s="8"/>
    </row>
    <row r="1571" spans="29:30" ht="12.75">
      <c r="AC1571" s="8"/>
      <c r="AD1571" s="8"/>
    </row>
    <row r="1572" spans="29:30" ht="12.75">
      <c r="AC1572" s="8"/>
      <c r="AD1572" s="8"/>
    </row>
    <row r="1573" spans="29:30" ht="12.75">
      <c r="AC1573" s="8"/>
      <c r="AD1573" s="8"/>
    </row>
    <row r="1574" spans="29:30" ht="12.75">
      <c r="AC1574" s="8"/>
      <c r="AD1574" s="8"/>
    </row>
    <row r="1575" spans="29:30" ht="12.75">
      <c r="AC1575" s="8"/>
      <c r="AD1575" s="8"/>
    </row>
    <row r="1576" spans="29:30" ht="12.75">
      <c r="AC1576" s="8"/>
      <c r="AD1576" s="8"/>
    </row>
    <row r="1577" spans="29:30" ht="12.75">
      <c r="AC1577" s="8"/>
      <c r="AD1577" s="8"/>
    </row>
    <row r="1578" spans="29:30" ht="12.75">
      <c r="AC1578" s="8"/>
      <c r="AD1578" s="8"/>
    </row>
    <row r="1579" spans="29:30" ht="12.75">
      <c r="AC1579" s="8"/>
      <c r="AD1579" s="8"/>
    </row>
    <row r="1580" spans="29:30" ht="12.75">
      <c r="AC1580" s="8"/>
      <c r="AD1580" s="8"/>
    </row>
    <row r="1581" spans="29:30" ht="12.75">
      <c r="AC1581" s="8"/>
      <c r="AD1581" s="8"/>
    </row>
    <row r="1582" spans="29:30" ht="12.75">
      <c r="AC1582" s="8"/>
      <c r="AD1582" s="8"/>
    </row>
    <row r="1583" spans="29:30" ht="12.75">
      <c r="AC1583" s="8"/>
      <c r="AD1583" s="8"/>
    </row>
    <row r="1584" spans="29:30" ht="12.75">
      <c r="AC1584" s="8"/>
      <c r="AD1584" s="8"/>
    </row>
    <row r="1585" spans="29:30" ht="12.75">
      <c r="AC1585" s="8"/>
      <c r="AD1585" s="8"/>
    </row>
    <row r="1586" spans="29:30" ht="12.75">
      <c r="AC1586" s="8"/>
      <c r="AD1586" s="8"/>
    </row>
    <row r="1587" spans="29:30" ht="12.75">
      <c r="AC1587" s="8"/>
      <c r="AD1587" s="8"/>
    </row>
    <row r="1588" spans="29:30" ht="12.75">
      <c r="AC1588" s="8"/>
      <c r="AD1588" s="8"/>
    </row>
    <row r="1589" spans="29:30" ht="12.75">
      <c r="AC1589" s="8"/>
      <c r="AD1589" s="8"/>
    </row>
    <row r="1590" spans="29:30" ht="12.75">
      <c r="AC1590" s="8"/>
      <c r="AD1590" s="8"/>
    </row>
    <row r="1591" spans="29:30" ht="12.75">
      <c r="AC1591" s="8"/>
      <c r="AD1591" s="8"/>
    </row>
    <row r="1592" spans="29:30" ht="12.75">
      <c r="AC1592" s="8"/>
      <c r="AD1592" s="8"/>
    </row>
    <row r="1593" spans="29:30" ht="12.75">
      <c r="AC1593" s="8"/>
      <c r="AD1593" s="8"/>
    </row>
    <row r="1594" spans="29:30" ht="12.75">
      <c r="AC1594" s="8"/>
      <c r="AD1594" s="8"/>
    </row>
    <row r="1595" spans="29:30" ht="12.75">
      <c r="AC1595" s="8"/>
      <c r="AD1595" s="8"/>
    </row>
    <row r="1596" spans="29:30" ht="12.75">
      <c r="AC1596" s="8"/>
      <c r="AD1596" s="8"/>
    </row>
    <row r="1597" spans="29:30" ht="12.75">
      <c r="AC1597" s="8"/>
      <c r="AD1597" s="8"/>
    </row>
    <row r="1598" spans="29:30" ht="12.75">
      <c r="AC1598" s="8"/>
      <c r="AD1598" s="8"/>
    </row>
    <row r="1599" spans="29:30" ht="12.75">
      <c r="AC1599" s="8"/>
      <c r="AD1599" s="8"/>
    </row>
    <row r="1600" spans="29:30" ht="12.75">
      <c r="AC1600" s="8"/>
      <c r="AD1600" s="8"/>
    </row>
    <row r="1601" spans="29:30" ht="12.75">
      <c r="AC1601" s="8"/>
      <c r="AD1601" s="8"/>
    </row>
    <row r="1602" spans="29:30" ht="12.75">
      <c r="AC1602" s="8"/>
      <c r="AD1602" s="8"/>
    </row>
    <row r="1603" spans="29:30" ht="12.75">
      <c r="AC1603" s="8"/>
      <c r="AD1603" s="8"/>
    </row>
    <row r="1604" spans="29:30" ht="12.75">
      <c r="AC1604" s="8"/>
      <c r="AD1604" s="8"/>
    </row>
    <row r="1605" spans="29:30" ht="12.75">
      <c r="AC1605" s="8"/>
      <c r="AD1605" s="8"/>
    </row>
    <row r="1606" spans="29:30" ht="12.75">
      <c r="AC1606" s="8"/>
      <c r="AD1606" s="8"/>
    </row>
    <row r="1607" spans="29:30" ht="12.75">
      <c r="AC1607" s="8"/>
      <c r="AD1607" s="8"/>
    </row>
    <row r="1608" spans="29:30" ht="12.75">
      <c r="AC1608" s="8"/>
      <c r="AD1608" s="8"/>
    </row>
    <row r="1609" spans="29:30" ht="12.75">
      <c r="AC1609" s="8"/>
      <c r="AD1609" s="8"/>
    </row>
    <row r="1610" spans="29:30" ht="12.75">
      <c r="AC1610" s="8"/>
      <c r="AD1610" s="8"/>
    </row>
    <row r="1611" spans="29:30" ht="12.75">
      <c r="AC1611" s="8"/>
      <c r="AD1611" s="8"/>
    </row>
    <row r="1612" spans="29:30" ht="12.75">
      <c r="AC1612" s="8"/>
      <c r="AD1612" s="8"/>
    </row>
    <row r="1613" spans="29:30" ht="12.75">
      <c r="AC1613" s="8"/>
      <c r="AD1613" s="8"/>
    </row>
    <row r="1614" spans="29:30" ht="12.75">
      <c r="AC1614" s="8"/>
      <c r="AD1614" s="8"/>
    </row>
    <row r="1615" spans="29:30" ht="12.75">
      <c r="AC1615" s="8"/>
      <c r="AD1615" s="8"/>
    </row>
    <row r="1616" spans="29:30" ht="12.75">
      <c r="AC1616" s="8"/>
      <c r="AD1616" s="8"/>
    </row>
    <row r="1617" spans="29:30" ht="12.75">
      <c r="AC1617" s="8"/>
      <c r="AD1617" s="8"/>
    </row>
    <row r="1618" spans="29:30" ht="12.75">
      <c r="AC1618" s="8"/>
      <c r="AD1618" s="8"/>
    </row>
    <row r="1619" spans="29:30" ht="12.75">
      <c r="AC1619" s="8"/>
      <c r="AD1619" s="8"/>
    </row>
    <row r="1620" spans="29:30" ht="12.75">
      <c r="AC1620" s="8"/>
      <c r="AD1620" s="8"/>
    </row>
    <row r="1621" spans="29:30" ht="12.75">
      <c r="AC1621" s="8"/>
      <c r="AD1621" s="8"/>
    </row>
    <row r="1622" spans="29:30" ht="12.75">
      <c r="AC1622" s="8"/>
      <c r="AD1622" s="8"/>
    </row>
    <row r="1623" spans="29:30" ht="12.75">
      <c r="AC1623" s="8"/>
      <c r="AD1623" s="8"/>
    </row>
    <row r="1624" spans="29:30" ht="12.75">
      <c r="AC1624" s="8"/>
      <c r="AD1624" s="8"/>
    </row>
    <row r="1625" spans="29:30" ht="12.75">
      <c r="AC1625" s="8"/>
      <c r="AD1625" s="8"/>
    </row>
    <row r="1626" spans="29:30" ht="12.75">
      <c r="AC1626" s="8"/>
      <c r="AD1626" s="8"/>
    </row>
    <row r="1627" spans="29:30" ht="12.75">
      <c r="AC1627" s="8"/>
      <c r="AD1627" s="8"/>
    </row>
    <row r="1628" spans="29:30" ht="12.75">
      <c r="AC1628" s="8"/>
      <c r="AD1628" s="8"/>
    </row>
    <row r="1629" spans="29:30" ht="12.75">
      <c r="AC1629" s="8"/>
      <c r="AD1629" s="8"/>
    </row>
    <row r="1630" spans="29:30" ht="12.75">
      <c r="AC1630" s="8"/>
      <c r="AD1630" s="8"/>
    </row>
    <row r="1631" spans="29:30" ht="12.75">
      <c r="AC1631" s="8"/>
      <c r="AD1631" s="8"/>
    </row>
    <row r="1632" spans="29:30" ht="12.75">
      <c r="AC1632" s="8"/>
      <c r="AD1632" s="8"/>
    </row>
    <row r="1633" spans="29:30" ht="12.75">
      <c r="AC1633" s="8"/>
      <c r="AD1633" s="8"/>
    </row>
    <row r="1634" spans="29:30" ht="12.75">
      <c r="AC1634" s="8"/>
      <c r="AD1634" s="8"/>
    </row>
    <row r="1635" spans="29:30" ht="12.75">
      <c r="AC1635" s="8"/>
      <c r="AD1635" s="8"/>
    </row>
    <row r="1636" spans="29:30" ht="12.75">
      <c r="AC1636" s="8"/>
      <c r="AD1636" s="8"/>
    </row>
    <row r="1637" spans="29:30" ht="12.75">
      <c r="AC1637" s="8"/>
      <c r="AD1637" s="8"/>
    </row>
    <row r="1638" spans="29:30" ht="12.75">
      <c r="AC1638" s="8"/>
      <c r="AD1638" s="8"/>
    </row>
    <row r="1639" spans="29:30" ht="12.75">
      <c r="AC1639" s="8"/>
      <c r="AD1639" s="8"/>
    </row>
    <row r="1640" spans="29:30" ht="12.75">
      <c r="AC1640" s="8"/>
      <c r="AD1640" s="8"/>
    </row>
    <row r="1641" spans="29:30" ht="12.75">
      <c r="AC1641" s="8"/>
      <c r="AD1641" s="8"/>
    </row>
    <row r="1642" spans="29:30" ht="12.75">
      <c r="AC1642" s="8"/>
      <c r="AD1642" s="8"/>
    </row>
    <row r="1643" spans="29:30" ht="12.75">
      <c r="AC1643" s="8"/>
      <c r="AD1643" s="8"/>
    </row>
    <row r="1644" spans="29:30" ht="12.75">
      <c r="AC1644" s="8"/>
      <c r="AD1644" s="8"/>
    </row>
    <row r="1645" spans="29:30" ht="12.75">
      <c r="AC1645" s="8"/>
      <c r="AD1645" s="8"/>
    </row>
    <row r="1646" spans="29:30" ht="12.75">
      <c r="AC1646" s="8"/>
      <c r="AD1646" s="8"/>
    </row>
    <row r="1647" spans="29:30" ht="12.75">
      <c r="AC1647" s="8"/>
      <c r="AD1647" s="8"/>
    </row>
    <row r="1648" spans="29:30" ht="12.75">
      <c r="AC1648" s="8"/>
      <c r="AD1648" s="8"/>
    </row>
    <row r="1649" spans="29:30" ht="12.75">
      <c r="AC1649" s="8"/>
      <c r="AD1649" s="8"/>
    </row>
    <row r="1650" spans="29:30" ht="12.75">
      <c r="AC1650" s="8"/>
      <c r="AD1650" s="8"/>
    </row>
    <row r="1651" spans="29:30" ht="12.75">
      <c r="AC1651" s="8"/>
      <c r="AD1651" s="8"/>
    </row>
    <row r="1652" spans="29:30" ht="12.75">
      <c r="AC1652" s="8"/>
      <c r="AD1652" s="8"/>
    </row>
    <row r="1653" spans="29:30" ht="12.75">
      <c r="AC1653" s="8"/>
      <c r="AD1653" s="8"/>
    </row>
    <row r="1654" spans="29:30" ht="12.75">
      <c r="AC1654" s="8"/>
      <c r="AD1654" s="8"/>
    </row>
    <row r="1655" spans="29:30" ht="12.75">
      <c r="AC1655" s="8"/>
      <c r="AD1655" s="8"/>
    </row>
    <row r="1656" spans="29:30" ht="12.75">
      <c r="AC1656" s="8"/>
      <c r="AD1656" s="8"/>
    </row>
    <row r="1657" spans="29:30" ht="12.75">
      <c r="AC1657" s="8"/>
      <c r="AD1657" s="8"/>
    </row>
    <row r="1658" spans="29:30" ht="12.75">
      <c r="AC1658" s="8"/>
      <c r="AD1658" s="8"/>
    </row>
    <row r="1659" spans="29:30" ht="12.75">
      <c r="AC1659" s="8"/>
      <c r="AD1659" s="8"/>
    </row>
    <row r="1660" spans="29:30" ht="12.75">
      <c r="AC1660" s="8"/>
      <c r="AD1660" s="8"/>
    </row>
    <row r="1661" spans="29:30" ht="12.75">
      <c r="AC1661" s="8"/>
      <c r="AD1661" s="8"/>
    </row>
    <row r="1662" spans="29:30" ht="12.75">
      <c r="AC1662" s="8"/>
      <c r="AD1662" s="8"/>
    </row>
    <row r="1663" spans="29:30" ht="12.75">
      <c r="AC1663" s="8"/>
      <c r="AD1663" s="8"/>
    </row>
    <row r="1664" spans="29:30" ht="12.75">
      <c r="AC1664" s="8"/>
      <c r="AD1664" s="8"/>
    </row>
    <row r="1665" spans="29:30" ht="12.75">
      <c r="AC1665" s="8"/>
      <c r="AD1665" s="8"/>
    </row>
    <row r="1666" spans="29:30" ht="12.75">
      <c r="AC1666" s="8"/>
      <c r="AD1666" s="8"/>
    </row>
    <row r="1667" spans="29:30" ht="12.75">
      <c r="AC1667" s="8"/>
      <c r="AD1667" s="8"/>
    </row>
    <row r="1668" spans="29:30" ht="12.75">
      <c r="AC1668" s="8"/>
      <c r="AD1668" s="8"/>
    </row>
    <row r="1669" spans="29:30" ht="12.75">
      <c r="AC1669" s="8"/>
      <c r="AD1669" s="8"/>
    </row>
    <row r="1670" spans="29:30" ht="12.75">
      <c r="AC1670" s="8"/>
      <c r="AD1670" s="8"/>
    </row>
    <row r="1671" spans="29:30" ht="12.75">
      <c r="AC1671" s="8"/>
      <c r="AD1671" s="8"/>
    </row>
    <row r="1672" spans="29:30" ht="12.75">
      <c r="AC1672" s="8"/>
      <c r="AD1672" s="8"/>
    </row>
    <row r="1673" spans="29:30" ht="12.75">
      <c r="AC1673" s="8"/>
      <c r="AD1673" s="8"/>
    </row>
    <row r="1674" spans="29:30" ht="12.75">
      <c r="AC1674" s="8"/>
      <c r="AD1674" s="8"/>
    </row>
    <row r="1675" spans="29:30" ht="12.75">
      <c r="AC1675" s="8"/>
      <c r="AD1675" s="8"/>
    </row>
    <row r="1676" spans="29:30" ht="12.75">
      <c r="AC1676" s="8"/>
      <c r="AD1676" s="8"/>
    </row>
    <row r="1677" spans="29:30" ht="12.75">
      <c r="AC1677" s="8"/>
      <c r="AD1677" s="8"/>
    </row>
    <row r="1678" spans="29:30" ht="12.75">
      <c r="AC1678" s="8"/>
      <c r="AD1678" s="8"/>
    </row>
    <row r="1679" spans="29:30" ht="12.75">
      <c r="AC1679" s="8"/>
      <c r="AD1679" s="8"/>
    </row>
    <row r="1680" spans="29:30" ht="12.75">
      <c r="AC1680" s="8"/>
      <c r="AD1680" s="8"/>
    </row>
    <row r="1681" spans="29:30" ht="12.75">
      <c r="AC1681" s="8"/>
      <c r="AD1681" s="8"/>
    </row>
    <row r="1682" spans="29:30" ht="12.75">
      <c r="AC1682" s="8"/>
      <c r="AD1682" s="8"/>
    </row>
    <row r="1683" spans="29:30" ht="12.75">
      <c r="AC1683" s="8"/>
      <c r="AD1683" s="8"/>
    </row>
    <row r="1684" spans="29:30" ht="12.75">
      <c r="AC1684" s="8"/>
      <c r="AD1684" s="8"/>
    </row>
    <row r="1685" spans="29:30" ht="12.75">
      <c r="AC1685" s="8"/>
      <c r="AD1685" s="8"/>
    </row>
    <row r="1686" spans="29:30" ht="12.75">
      <c r="AC1686" s="8"/>
      <c r="AD1686" s="8"/>
    </row>
    <row r="1687" spans="29:30" ht="12.75">
      <c r="AC1687" s="8"/>
      <c r="AD1687" s="8"/>
    </row>
    <row r="1688" spans="29:30" ht="12.75">
      <c r="AC1688" s="8"/>
      <c r="AD1688" s="8"/>
    </row>
    <row r="1689" spans="29:30" ht="12.75">
      <c r="AC1689" s="8"/>
      <c r="AD1689" s="8"/>
    </row>
    <row r="1690" spans="29:30" ht="12.75">
      <c r="AC1690" s="8"/>
      <c r="AD1690" s="8"/>
    </row>
    <row r="1691" spans="29:30" ht="12.75">
      <c r="AC1691" s="8"/>
      <c r="AD1691" s="8"/>
    </row>
    <row r="1692" spans="29:30" ht="12.75">
      <c r="AC1692" s="8"/>
      <c r="AD1692" s="8"/>
    </row>
    <row r="1693" spans="29:30" ht="12.75">
      <c r="AC1693" s="8"/>
      <c r="AD1693" s="8"/>
    </row>
    <row r="1694" spans="29:30" ht="12.75">
      <c r="AC1694" s="8"/>
      <c r="AD1694" s="8"/>
    </row>
    <row r="1695" spans="29:30" ht="12.75">
      <c r="AC1695" s="8"/>
      <c r="AD1695" s="8"/>
    </row>
    <row r="1696" spans="29:30" ht="12.75">
      <c r="AC1696" s="8"/>
      <c r="AD1696" s="8"/>
    </row>
    <row r="1697" spans="29:30" ht="12.75">
      <c r="AC1697" s="8"/>
      <c r="AD1697" s="8"/>
    </row>
    <row r="1698" spans="29:30" ht="12.75">
      <c r="AC1698" s="8"/>
      <c r="AD1698" s="8"/>
    </row>
    <row r="1699" spans="29:30" ht="12.75">
      <c r="AC1699" s="8"/>
      <c r="AD1699" s="8"/>
    </row>
    <row r="1700" spans="29:30" ht="12.75">
      <c r="AC1700" s="8"/>
      <c r="AD1700" s="8"/>
    </row>
    <row r="1701" spans="29:30" ht="12.75">
      <c r="AC1701" s="8"/>
      <c r="AD1701" s="8"/>
    </row>
    <row r="1702" spans="29:30" ht="12.75">
      <c r="AC1702" s="8"/>
      <c r="AD1702" s="8"/>
    </row>
    <row r="1703" spans="29:30" ht="12.75">
      <c r="AC1703" s="8"/>
      <c r="AD1703" s="8"/>
    </row>
    <row r="1704" spans="29:30" ht="12.75">
      <c r="AC1704" s="8"/>
      <c r="AD1704" s="8"/>
    </row>
    <row r="1705" spans="29:30" ht="12.75">
      <c r="AC1705" s="8"/>
      <c r="AD1705" s="8"/>
    </row>
    <row r="1706" spans="29:30" ht="12.75">
      <c r="AC1706" s="8"/>
      <c r="AD1706" s="8"/>
    </row>
    <row r="1707" spans="29:30" ht="12.75">
      <c r="AC1707" s="8"/>
      <c r="AD1707" s="8"/>
    </row>
    <row r="1708" spans="29:30" ht="12.75">
      <c r="AC1708" s="8"/>
      <c r="AD1708" s="8"/>
    </row>
    <row r="1709" spans="29:30" ht="12.75">
      <c r="AC1709" s="8"/>
      <c r="AD1709" s="8"/>
    </row>
    <row r="1710" spans="29:30" ht="12.75">
      <c r="AC1710" s="8"/>
      <c r="AD1710" s="8"/>
    </row>
    <row r="1711" spans="29:30" ht="12.75">
      <c r="AC1711" s="8"/>
      <c r="AD1711" s="8"/>
    </row>
    <row r="1712" spans="29:30" ht="12.75">
      <c r="AC1712" s="8"/>
      <c r="AD1712" s="8"/>
    </row>
    <row r="1713" spans="29:30" ht="12.75">
      <c r="AC1713" s="8"/>
      <c r="AD1713" s="8"/>
    </row>
    <row r="1714" spans="29:30" ht="12.75">
      <c r="AC1714" s="8"/>
      <c r="AD1714" s="8"/>
    </row>
    <row r="1715" spans="29:30" ht="12.75">
      <c r="AC1715" s="8"/>
      <c r="AD1715" s="8"/>
    </row>
    <row r="1716" spans="29:30" ht="12.75">
      <c r="AC1716" s="8"/>
      <c r="AD1716" s="8"/>
    </row>
    <row r="1717" spans="29:30" ht="12.75">
      <c r="AC1717" s="8"/>
      <c r="AD1717" s="8"/>
    </row>
    <row r="1718" spans="29:30" ht="12.75">
      <c r="AC1718" s="8"/>
      <c r="AD1718" s="8"/>
    </row>
    <row r="1719" spans="29:30" ht="12.75">
      <c r="AC1719" s="8"/>
      <c r="AD1719" s="8"/>
    </row>
    <row r="1720" spans="29:30" ht="12.75">
      <c r="AC1720" s="8"/>
      <c r="AD1720" s="8"/>
    </row>
    <row r="1721" spans="29:30" ht="12.75">
      <c r="AC1721" s="8"/>
      <c r="AD1721" s="8"/>
    </row>
    <row r="1722" spans="29:30" ht="12.75">
      <c r="AC1722" s="8"/>
      <c r="AD1722" s="8"/>
    </row>
    <row r="1723" spans="29:30" ht="12.75">
      <c r="AC1723" s="8"/>
      <c r="AD1723" s="8"/>
    </row>
    <row r="1724" spans="29:30" ht="12.75">
      <c r="AC1724" s="8"/>
      <c r="AD1724" s="8"/>
    </row>
    <row r="1725" spans="29:30" ht="12.75">
      <c r="AC1725" s="8"/>
      <c r="AD1725" s="8"/>
    </row>
    <row r="1726" spans="29:30" ht="12.75">
      <c r="AC1726" s="8"/>
      <c r="AD1726" s="8"/>
    </row>
    <row r="1727" spans="29:30" ht="12.75">
      <c r="AC1727" s="8"/>
      <c r="AD1727" s="8"/>
    </row>
    <row r="1728" spans="29:30" ht="12.75">
      <c r="AC1728" s="8"/>
      <c r="AD1728" s="8"/>
    </row>
    <row r="1729" spans="29:30" ht="12.75">
      <c r="AC1729" s="8"/>
      <c r="AD1729" s="8"/>
    </row>
    <row r="1730" spans="29:30" ht="12.75">
      <c r="AC1730" s="8"/>
      <c r="AD1730" s="8"/>
    </row>
    <row r="1731" spans="29:30" ht="12.75">
      <c r="AC1731" s="8"/>
      <c r="AD1731" s="8"/>
    </row>
    <row r="1732" spans="29:30" ht="12.75">
      <c r="AC1732" s="8"/>
      <c r="AD1732" s="8"/>
    </row>
    <row r="1733" spans="29:30" ht="12.75">
      <c r="AC1733" s="8"/>
      <c r="AD1733" s="8"/>
    </row>
    <row r="1734" spans="29:30" ht="12.75">
      <c r="AC1734" s="8"/>
      <c r="AD1734" s="8"/>
    </row>
    <row r="1735" spans="29:30" ht="12.75">
      <c r="AC1735" s="8"/>
      <c r="AD1735" s="8"/>
    </row>
    <row r="1736" spans="29:30" ht="12.75">
      <c r="AC1736" s="8"/>
      <c r="AD1736" s="8"/>
    </row>
    <row r="1737" spans="29:30" ht="12.75">
      <c r="AC1737" s="8"/>
      <c r="AD1737" s="8"/>
    </row>
    <row r="1738" spans="29:30" ht="12.75">
      <c r="AC1738" s="8"/>
      <c r="AD1738" s="8"/>
    </row>
    <row r="1739" spans="29:30" ht="12.75">
      <c r="AC1739" s="8"/>
      <c r="AD1739" s="8"/>
    </row>
    <row r="1740" spans="29:30" ht="12.75">
      <c r="AC1740" s="8"/>
      <c r="AD1740" s="8"/>
    </row>
    <row r="1741" spans="29:30" ht="12.75">
      <c r="AC1741" s="8"/>
      <c r="AD1741" s="8"/>
    </row>
    <row r="1742" spans="29:30" ht="12.75">
      <c r="AC1742" s="8"/>
      <c r="AD1742" s="8"/>
    </row>
    <row r="1743" spans="29:30" ht="12.75">
      <c r="AC1743" s="8"/>
      <c r="AD1743" s="8"/>
    </row>
    <row r="1744" spans="29:30" ht="12.75">
      <c r="AC1744" s="8"/>
      <c r="AD1744" s="8"/>
    </row>
    <row r="1745" spans="29:30" ht="12.75">
      <c r="AC1745" s="8"/>
      <c r="AD1745" s="8"/>
    </row>
    <row r="1746" spans="29:30" ht="12.75">
      <c r="AC1746" s="8"/>
      <c r="AD1746" s="8"/>
    </row>
    <row r="1747" spans="29:30" ht="12.75">
      <c r="AC1747" s="8"/>
      <c r="AD1747" s="8"/>
    </row>
    <row r="1748" spans="29:30" ht="12.75">
      <c r="AC1748" s="8"/>
      <c r="AD1748" s="8"/>
    </row>
    <row r="1749" spans="29:30" ht="12.75">
      <c r="AC1749" s="8"/>
      <c r="AD1749" s="8"/>
    </row>
    <row r="1750" spans="29:30" ht="12.75">
      <c r="AC1750" s="8"/>
      <c r="AD1750" s="8"/>
    </row>
    <row r="1751" spans="29:30" ht="12.75">
      <c r="AC1751" s="8"/>
      <c r="AD1751" s="8"/>
    </row>
    <row r="1752" spans="29:30" ht="12.75">
      <c r="AC1752" s="8"/>
      <c r="AD1752" s="8"/>
    </row>
    <row r="1753" spans="29:30" ht="12.75">
      <c r="AC1753" s="8"/>
      <c r="AD1753" s="8"/>
    </row>
    <row r="1754" spans="29:30" ht="12.75">
      <c r="AC1754" s="8"/>
      <c r="AD1754" s="8"/>
    </row>
    <row r="1755" spans="29:30" ht="12.75">
      <c r="AC1755" s="8"/>
      <c r="AD1755" s="8"/>
    </row>
    <row r="1756" spans="29:30" ht="12.75">
      <c r="AC1756" s="8"/>
      <c r="AD1756" s="8"/>
    </row>
    <row r="1757" spans="29:30" ht="12.75">
      <c r="AC1757" s="8"/>
      <c r="AD1757" s="8"/>
    </row>
    <row r="1758" spans="29:30" ht="12.75">
      <c r="AC1758" s="8"/>
      <c r="AD1758" s="8"/>
    </row>
    <row r="1759" spans="29:30" ht="12.75">
      <c r="AC1759" s="8"/>
      <c r="AD1759" s="8"/>
    </row>
    <row r="1760" spans="29:30" ht="12.75">
      <c r="AC1760" s="8"/>
      <c r="AD1760" s="8"/>
    </row>
    <row r="1761" spans="29:30" ht="12.75">
      <c r="AC1761" s="8"/>
      <c r="AD1761" s="8"/>
    </row>
    <row r="1762" spans="29:30" ht="12.75">
      <c r="AC1762" s="8"/>
      <c r="AD1762" s="8"/>
    </row>
    <row r="1763" spans="29:30" ht="12.75">
      <c r="AC1763" s="8"/>
      <c r="AD1763" s="8"/>
    </row>
    <row r="1764" spans="29:30" ht="12.75">
      <c r="AC1764" s="8"/>
      <c r="AD1764" s="8"/>
    </row>
    <row r="1765" spans="29:30" ht="12.75">
      <c r="AC1765" s="8"/>
      <c r="AD1765" s="8"/>
    </row>
    <row r="1766" spans="29:30" ht="12.75">
      <c r="AC1766" s="8"/>
      <c r="AD1766" s="8"/>
    </row>
    <row r="1767" spans="29:30" ht="12.75">
      <c r="AC1767" s="8"/>
      <c r="AD1767" s="8"/>
    </row>
    <row r="1768" spans="29:30" ht="12.75">
      <c r="AC1768" s="8"/>
      <c r="AD1768" s="8"/>
    </row>
    <row r="1769" spans="29:30" ht="12.75">
      <c r="AC1769" s="8"/>
      <c r="AD1769" s="8"/>
    </row>
    <row r="1770" spans="29:30" ht="12.75">
      <c r="AC1770" s="8"/>
      <c r="AD1770" s="8"/>
    </row>
    <row r="1771" spans="29:30" ht="12.75">
      <c r="AC1771" s="8"/>
      <c r="AD1771" s="8"/>
    </row>
    <row r="1772" spans="29:30" ht="12.75">
      <c r="AC1772" s="8"/>
      <c r="AD1772" s="8"/>
    </row>
    <row r="1773" spans="29:30" ht="12.75">
      <c r="AC1773" s="8"/>
      <c r="AD1773" s="8"/>
    </row>
    <row r="1774" spans="29:30" ht="12.75">
      <c r="AC1774" s="8"/>
      <c r="AD1774" s="8"/>
    </row>
    <row r="1775" spans="29:30" ht="12.75">
      <c r="AC1775" s="8"/>
      <c r="AD1775" s="8"/>
    </row>
    <row r="1776" spans="29:30" ht="12.75">
      <c r="AC1776" s="8"/>
      <c r="AD1776" s="8"/>
    </row>
    <row r="1777" spans="29:30" ht="12.75">
      <c r="AC1777" s="8"/>
      <c r="AD1777" s="8"/>
    </row>
    <row r="1778" spans="29:30" ht="12.75">
      <c r="AC1778" s="8"/>
      <c r="AD1778" s="8"/>
    </row>
    <row r="1779" spans="29:30" ht="12.75">
      <c r="AC1779" s="8"/>
      <c r="AD1779" s="8"/>
    </row>
    <row r="1780" spans="29:30" ht="12.75">
      <c r="AC1780" s="8"/>
      <c r="AD1780" s="8"/>
    </row>
    <row r="1781" spans="29:30" ht="12.75">
      <c r="AC1781" s="8"/>
      <c r="AD1781" s="8"/>
    </row>
    <row r="1782" spans="29:30" ht="12.75">
      <c r="AC1782" s="8"/>
      <c r="AD1782" s="8"/>
    </row>
    <row r="1783" spans="29:30" ht="12.75">
      <c r="AC1783" s="8"/>
      <c r="AD1783" s="8"/>
    </row>
    <row r="1784" spans="29:30" ht="12.75">
      <c r="AC1784" s="8"/>
      <c r="AD1784" s="8"/>
    </row>
    <row r="1785" spans="29:30" ht="12.75">
      <c r="AC1785" s="8"/>
      <c r="AD1785" s="8"/>
    </row>
    <row r="1786" spans="29:30" ht="12.75">
      <c r="AC1786" s="8"/>
      <c r="AD1786" s="8"/>
    </row>
    <row r="1787" spans="29:30" ht="12.75">
      <c r="AC1787" s="8"/>
      <c r="AD1787" s="8"/>
    </row>
    <row r="1788" spans="29:30" ht="12.75">
      <c r="AC1788" s="8"/>
      <c r="AD1788" s="8"/>
    </row>
    <row r="1789" spans="29:30" ht="12.75">
      <c r="AC1789" s="8"/>
      <c r="AD1789" s="8"/>
    </row>
    <row r="1790" spans="29:30" ht="12.75">
      <c r="AC1790" s="8"/>
      <c r="AD1790" s="8"/>
    </row>
    <row r="1791" spans="29:30" ht="12.75">
      <c r="AC1791" s="8"/>
      <c r="AD1791" s="8"/>
    </row>
    <row r="1792" spans="29:30" ht="12.75">
      <c r="AC1792" s="8"/>
      <c r="AD1792" s="8"/>
    </row>
    <row r="1793" spans="29:30" ht="12.75">
      <c r="AC1793" s="8"/>
      <c r="AD1793" s="8"/>
    </row>
    <row r="1794" spans="29:30" ht="12.75">
      <c r="AC1794" s="8"/>
      <c r="AD1794" s="8"/>
    </row>
    <row r="1795" spans="29:30" ht="12.75">
      <c r="AC1795" s="8"/>
      <c r="AD1795" s="8"/>
    </row>
    <row r="1796" spans="29:30" ht="12.75">
      <c r="AC1796" s="8"/>
      <c r="AD1796" s="8"/>
    </row>
    <row r="1797" spans="29:30" ht="12.75">
      <c r="AC1797" s="8"/>
      <c r="AD1797" s="8"/>
    </row>
    <row r="1798" spans="29:30" ht="12.75">
      <c r="AC1798" s="8"/>
      <c r="AD1798" s="8"/>
    </row>
    <row r="1799" spans="29:30" ht="12.75">
      <c r="AC1799" s="8"/>
      <c r="AD1799" s="8"/>
    </row>
    <row r="1800" spans="29:30" ht="12.75">
      <c r="AC1800" s="8"/>
      <c r="AD1800" s="8"/>
    </row>
    <row r="1801" spans="29:30" ht="12.75">
      <c r="AC1801" s="8"/>
      <c r="AD1801" s="8"/>
    </row>
    <row r="1802" spans="29:30" ht="12.75">
      <c r="AC1802" s="8"/>
      <c r="AD1802" s="8"/>
    </row>
    <row r="1803" spans="29:30" ht="12.75">
      <c r="AC1803" s="8"/>
      <c r="AD1803" s="8"/>
    </row>
    <row r="1804" spans="29:30" ht="12.75">
      <c r="AC1804" s="8"/>
      <c r="AD1804" s="8"/>
    </row>
    <row r="1805" spans="29:30" ht="12.75">
      <c r="AC1805" s="8"/>
      <c r="AD1805" s="8"/>
    </row>
    <row r="1806" spans="29:30" ht="12.75">
      <c r="AC1806" s="8"/>
      <c r="AD1806" s="8"/>
    </row>
    <row r="1807" spans="29:30" ht="12.75">
      <c r="AC1807" s="8"/>
      <c r="AD1807" s="8"/>
    </row>
    <row r="1808" spans="29:30" ht="12.75">
      <c r="AC1808" s="8"/>
      <c r="AD1808" s="8"/>
    </row>
    <row r="1809" spans="29:30" ht="12.75">
      <c r="AC1809" s="8"/>
      <c r="AD1809" s="8"/>
    </row>
    <row r="1810" spans="29:30" ht="12.75">
      <c r="AC1810" s="8"/>
      <c r="AD1810" s="8"/>
    </row>
    <row r="1811" spans="29:30" ht="12.75">
      <c r="AC1811" s="8"/>
      <c r="AD1811" s="8"/>
    </row>
    <row r="1812" spans="29:30" ht="12.75">
      <c r="AC1812" s="8"/>
      <c r="AD1812" s="8"/>
    </row>
    <row r="1813" spans="29:30" ht="12.75">
      <c r="AC1813" s="8"/>
      <c r="AD1813" s="8"/>
    </row>
    <row r="1814" spans="29:30" ht="12.75">
      <c r="AC1814" s="8"/>
      <c r="AD1814" s="8"/>
    </row>
    <row r="1815" spans="29:30" ht="12.75">
      <c r="AC1815" s="8"/>
      <c r="AD1815" s="8"/>
    </row>
    <row r="1816" spans="29:30" ht="12.75">
      <c r="AC1816" s="8"/>
      <c r="AD1816" s="8"/>
    </row>
    <row r="1817" spans="29:30" ht="12.75">
      <c r="AC1817" s="8"/>
      <c r="AD1817" s="8"/>
    </row>
    <row r="1818" spans="29:30" ht="12.75">
      <c r="AC1818" s="8"/>
      <c r="AD1818" s="8"/>
    </row>
    <row r="1819" spans="29:30" ht="12.75">
      <c r="AC1819" s="8"/>
      <c r="AD1819" s="8"/>
    </row>
    <row r="1820" spans="29:30" ht="12.75">
      <c r="AC1820" s="8"/>
      <c r="AD1820" s="8"/>
    </row>
    <row r="1821" spans="29:30" ht="12.75">
      <c r="AC1821" s="8"/>
      <c r="AD1821" s="8"/>
    </row>
    <row r="1822" spans="29:30" ht="12.75">
      <c r="AC1822" s="8"/>
      <c r="AD1822" s="8"/>
    </row>
    <row r="1823" spans="29:30" ht="12.75">
      <c r="AC1823" s="8"/>
      <c r="AD1823" s="8"/>
    </row>
    <row r="1824" spans="29:30" ht="12.75">
      <c r="AC1824" s="8"/>
      <c r="AD1824" s="8"/>
    </row>
    <row r="1825" spans="29:30" ht="12.75">
      <c r="AC1825" s="8"/>
      <c r="AD1825" s="8"/>
    </row>
    <row r="1826" spans="29:30" ht="12.75">
      <c r="AC1826" s="8"/>
      <c r="AD1826" s="8"/>
    </row>
    <row r="1827" spans="29:30" ht="12.75">
      <c r="AC1827" s="8"/>
      <c r="AD1827" s="8"/>
    </row>
    <row r="1828" spans="29:30" ht="12.75">
      <c r="AC1828" s="8"/>
      <c r="AD1828" s="8"/>
    </row>
    <row r="1829" spans="29:30" ht="12.75">
      <c r="AC1829" s="8"/>
      <c r="AD1829" s="8"/>
    </row>
    <row r="1830" spans="29:30" ht="12.75">
      <c r="AC1830" s="8"/>
      <c r="AD1830" s="8"/>
    </row>
    <row r="1831" spans="29:30" ht="12.75">
      <c r="AC1831" s="8"/>
      <c r="AD1831" s="8"/>
    </row>
    <row r="1832" spans="29:30" ht="12.75">
      <c r="AC1832" s="8"/>
      <c r="AD1832" s="8"/>
    </row>
    <row r="1833" spans="29:30" ht="12.75">
      <c r="AC1833" s="8"/>
      <c r="AD1833" s="8"/>
    </row>
    <row r="1834" spans="29:30" ht="12.75">
      <c r="AC1834" s="8"/>
      <c r="AD1834" s="8"/>
    </row>
    <row r="1835" spans="29:30" ht="12.75">
      <c r="AC1835" s="8"/>
      <c r="AD1835" s="8"/>
    </row>
    <row r="1836" spans="29:30" ht="12.75">
      <c r="AC1836" s="8"/>
      <c r="AD1836" s="8"/>
    </row>
    <row r="1837" spans="29:30" ht="12.75">
      <c r="AC1837" s="8"/>
      <c r="AD1837" s="8"/>
    </row>
    <row r="1838" spans="29:30" ht="12.75">
      <c r="AC1838" s="8"/>
      <c r="AD1838" s="8"/>
    </row>
    <row r="1839" spans="29:30" ht="12.75">
      <c r="AC1839" s="8"/>
      <c r="AD1839" s="8"/>
    </row>
    <row r="1840" spans="29:30" ht="12.75">
      <c r="AC1840" s="8"/>
      <c r="AD1840" s="8"/>
    </row>
    <row r="1841" spans="29:30" ht="12.75">
      <c r="AC1841" s="8"/>
      <c r="AD1841" s="8"/>
    </row>
    <row r="1842" spans="29:30" ht="12.75">
      <c r="AC1842" s="8"/>
      <c r="AD1842" s="8"/>
    </row>
    <row r="1843" spans="29:30" ht="12.75">
      <c r="AC1843" s="8"/>
      <c r="AD1843" s="8"/>
    </row>
    <row r="1844" spans="29:30" ht="12.75">
      <c r="AC1844" s="8"/>
      <c r="AD1844" s="8"/>
    </row>
    <row r="1845" spans="29:30" ht="12.75">
      <c r="AC1845" s="8"/>
      <c r="AD1845" s="8"/>
    </row>
    <row r="1846" spans="29:30" ht="12.75">
      <c r="AC1846" s="8"/>
      <c r="AD1846" s="8"/>
    </row>
    <row r="1847" spans="29:30" ht="12.75">
      <c r="AC1847" s="8"/>
      <c r="AD1847" s="8"/>
    </row>
    <row r="1848" spans="29:30" ht="12.75">
      <c r="AC1848" s="8"/>
      <c r="AD1848" s="8"/>
    </row>
    <row r="1849" spans="29:30" ht="12.75">
      <c r="AC1849" s="8"/>
      <c r="AD1849" s="8"/>
    </row>
    <row r="1850" spans="29:30" ht="12.75">
      <c r="AC1850" s="8"/>
      <c r="AD1850" s="8"/>
    </row>
    <row r="1851" spans="29:30" ht="12.75">
      <c r="AC1851" s="8"/>
      <c r="AD1851" s="8"/>
    </row>
    <row r="1852" spans="29:30" ht="12.75">
      <c r="AC1852" s="8"/>
      <c r="AD1852" s="8"/>
    </row>
    <row r="1853" spans="29:30" ht="12.75">
      <c r="AC1853" s="8"/>
      <c r="AD1853" s="8"/>
    </row>
    <row r="1854" spans="29:30" ht="12.75">
      <c r="AC1854" s="8"/>
      <c r="AD1854" s="8"/>
    </row>
    <row r="1855" spans="29:30" ht="12.75">
      <c r="AC1855" s="8"/>
      <c r="AD1855" s="8"/>
    </row>
    <row r="1856" spans="29:30" ht="12.75">
      <c r="AC1856" s="8"/>
      <c r="AD1856" s="8"/>
    </row>
    <row r="1857" spans="29:30" ht="12.75">
      <c r="AC1857" s="8"/>
      <c r="AD1857" s="8"/>
    </row>
    <row r="1858" spans="29:30" ht="12.75">
      <c r="AC1858" s="8"/>
      <c r="AD1858" s="8"/>
    </row>
    <row r="1859" spans="29:30" ht="12.75">
      <c r="AC1859" s="8"/>
      <c r="AD1859" s="8"/>
    </row>
    <row r="1860" spans="29:30" ht="12.75">
      <c r="AC1860" s="8"/>
      <c r="AD1860" s="8"/>
    </row>
    <row r="1861" spans="29:30" ht="12.75">
      <c r="AC1861" s="8"/>
      <c r="AD1861" s="8"/>
    </row>
    <row r="1862" spans="29:30" ht="12.75">
      <c r="AC1862" s="8"/>
      <c r="AD1862" s="8"/>
    </row>
    <row r="1863" spans="29:30" ht="12.75">
      <c r="AC1863" s="8"/>
      <c r="AD1863" s="8"/>
    </row>
    <row r="1864" spans="29:30" ht="12.75">
      <c r="AC1864" s="8"/>
      <c r="AD1864" s="8"/>
    </row>
    <row r="1865" spans="29:30" ht="12.75">
      <c r="AC1865" s="8"/>
      <c r="AD1865" s="8"/>
    </row>
    <row r="1866" spans="29:30" ht="12.75">
      <c r="AC1866" s="8"/>
      <c r="AD1866" s="8"/>
    </row>
    <row r="1867" spans="29:30" ht="12.75">
      <c r="AC1867" s="8"/>
      <c r="AD1867" s="8"/>
    </row>
    <row r="1868" spans="29:30" ht="12.75">
      <c r="AC1868" s="8"/>
      <c r="AD1868" s="8"/>
    </row>
    <row r="1869" spans="29:30" ht="12.75">
      <c r="AC1869" s="8"/>
      <c r="AD1869" s="8"/>
    </row>
    <row r="1870" spans="29:30" ht="12.75">
      <c r="AC1870" s="8"/>
      <c r="AD1870" s="8"/>
    </row>
    <row r="1871" spans="29:30" ht="12.75">
      <c r="AC1871" s="8"/>
      <c r="AD1871" s="8"/>
    </row>
    <row r="1872" spans="29:30" ht="12.75">
      <c r="AC1872" s="8"/>
      <c r="AD1872" s="8"/>
    </row>
    <row r="1873" spans="29:30" ht="12.75">
      <c r="AC1873" s="8"/>
      <c r="AD1873" s="8"/>
    </row>
    <row r="1874" spans="29:30" ht="12.75">
      <c r="AC1874" s="8"/>
      <c r="AD1874" s="8"/>
    </row>
    <row r="1875" spans="29:30" ht="12.75">
      <c r="AC1875" s="8"/>
      <c r="AD1875" s="8"/>
    </row>
    <row r="1876" spans="29:30" ht="12.75">
      <c r="AC1876" s="8"/>
      <c r="AD1876" s="8"/>
    </row>
    <row r="1877" spans="29:30" ht="12.75">
      <c r="AC1877" s="8"/>
      <c r="AD1877" s="8"/>
    </row>
    <row r="1878" spans="29:30" ht="12.75">
      <c r="AC1878" s="8"/>
      <c r="AD1878" s="8"/>
    </row>
    <row r="1879" spans="29:30" ht="12.75">
      <c r="AC1879" s="8"/>
      <c r="AD1879" s="8"/>
    </row>
    <row r="1880" spans="29:30" ht="12.75">
      <c r="AC1880" s="8"/>
      <c r="AD1880" s="8"/>
    </row>
    <row r="1881" spans="29:30" ht="12.75">
      <c r="AC1881" s="8"/>
      <c r="AD1881" s="8"/>
    </row>
    <row r="1882" spans="29:30" ht="12.75">
      <c r="AC1882" s="8"/>
      <c r="AD1882" s="8"/>
    </row>
    <row r="1883" spans="29:30" ht="12.75">
      <c r="AC1883" s="8"/>
      <c r="AD1883" s="8"/>
    </row>
    <row r="1884" spans="29:30" ht="12.75">
      <c r="AC1884" s="8"/>
      <c r="AD1884" s="8"/>
    </row>
    <row r="1885" spans="29:30" ht="12.75">
      <c r="AC1885" s="8"/>
      <c r="AD1885" s="8"/>
    </row>
    <row r="1886" spans="29:30" ht="12.75">
      <c r="AC1886" s="8"/>
      <c r="AD1886" s="8"/>
    </row>
    <row r="1887" spans="29:30" ht="12.75">
      <c r="AC1887" s="8"/>
      <c r="AD1887" s="8"/>
    </row>
    <row r="1888" spans="29:30" ht="12.75">
      <c r="AC1888" s="8"/>
      <c r="AD1888" s="8"/>
    </row>
    <row r="1889" spans="29:30" ht="12.75">
      <c r="AC1889" s="8"/>
      <c r="AD1889" s="8"/>
    </row>
    <row r="1890" spans="29:30" ht="12.75">
      <c r="AC1890" s="8"/>
      <c r="AD1890" s="8"/>
    </row>
    <row r="1891" spans="29:30" ht="12.75">
      <c r="AC1891" s="8"/>
      <c r="AD1891" s="8"/>
    </row>
    <row r="1892" spans="29:30" ht="12.75">
      <c r="AC1892" s="8"/>
      <c r="AD1892" s="8"/>
    </row>
    <row r="1893" spans="29:30" ht="12.75">
      <c r="AC1893" s="8"/>
      <c r="AD1893" s="8"/>
    </row>
    <row r="1894" spans="29:30" ht="12.75">
      <c r="AC1894" s="8"/>
      <c r="AD1894" s="8"/>
    </row>
    <row r="1895" spans="29:30" ht="12.75">
      <c r="AC1895" s="8"/>
      <c r="AD1895" s="8"/>
    </row>
    <row r="1896" spans="29:30" ht="12.75">
      <c r="AC1896" s="8"/>
      <c r="AD1896" s="8"/>
    </row>
    <row r="1897" spans="29:30" ht="12.75">
      <c r="AC1897" s="8"/>
      <c r="AD1897" s="8"/>
    </row>
    <row r="1898" spans="29:30" ht="12.75">
      <c r="AC1898" s="8"/>
      <c r="AD1898" s="8"/>
    </row>
    <row r="1899" spans="29:30" ht="12.75">
      <c r="AC1899" s="8"/>
      <c r="AD1899" s="8"/>
    </row>
    <row r="1900" spans="29:30" ht="12.75">
      <c r="AC1900" s="8"/>
      <c r="AD1900" s="8"/>
    </row>
    <row r="1901" spans="29:30" ht="12.75">
      <c r="AC1901" s="8"/>
      <c r="AD1901" s="8"/>
    </row>
    <row r="1902" spans="29:30" ht="12.75">
      <c r="AC1902" s="8"/>
      <c r="AD1902" s="8"/>
    </row>
    <row r="1903" spans="29:30" ht="12.75">
      <c r="AC1903" s="8"/>
      <c r="AD1903" s="8"/>
    </row>
    <row r="1904" spans="29:30" ht="12.75">
      <c r="AC1904" s="8"/>
      <c r="AD1904" s="8"/>
    </row>
    <row r="1905" spans="29:30" ht="12.75">
      <c r="AC1905" s="8"/>
      <c r="AD1905" s="8"/>
    </row>
    <row r="1906" spans="29:30" ht="12.75">
      <c r="AC1906" s="8"/>
      <c r="AD1906" s="8"/>
    </row>
    <row r="1907" spans="29:30" ht="12.75">
      <c r="AC1907" s="8"/>
      <c r="AD1907" s="8"/>
    </row>
    <row r="1908" spans="29:30" ht="12.75">
      <c r="AC1908" s="8"/>
      <c r="AD1908" s="8"/>
    </row>
    <row r="1909" spans="29:30" ht="12.75">
      <c r="AC1909" s="8"/>
      <c r="AD1909" s="8"/>
    </row>
    <row r="1910" spans="29:30" ht="12.75">
      <c r="AC1910" s="8"/>
      <c r="AD1910" s="8"/>
    </row>
    <row r="1911" spans="29:30" ht="12.75">
      <c r="AC1911" s="8"/>
      <c r="AD1911" s="8"/>
    </row>
    <row r="1912" spans="29:30" ht="12.75">
      <c r="AC1912" s="8"/>
      <c r="AD1912" s="8"/>
    </row>
    <row r="1913" spans="29:30" ht="12.75">
      <c r="AC1913" s="8"/>
      <c r="AD1913" s="8"/>
    </row>
    <row r="1914" spans="29:30" ht="12.75">
      <c r="AC1914" s="8"/>
      <c r="AD1914" s="8"/>
    </row>
    <row r="1915" spans="29:30" ht="12.75">
      <c r="AC1915" s="8"/>
      <c r="AD1915" s="8"/>
    </row>
    <row r="1916" spans="29:30" ht="12.75">
      <c r="AC1916" s="8"/>
      <c r="AD1916" s="8"/>
    </row>
    <row r="1917" spans="29:30" ht="12.75">
      <c r="AC1917" s="8"/>
      <c r="AD1917" s="8"/>
    </row>
    <row r="1918" spans="29:30" ht="12.75">
      <c r="AC1918" s="8"/>
      <c r="AD1918" s="8"/>
    </row>
    <row r="1919" spans="29:30" ht="12.75">
      <c r="AC1919" s="8"/>
      <c r="AD1919" s="8"/>
    </row>
    <row r="1920" spans="29:30" ht="12.75">
      <c r="AC1920" s="8"/>
      <c r="AD1920" s="8"/>
    </row>
    <row r="1921" spans="29:30" ht="12.75">
      <c r="AC1921" s="8"/>
      <c r="AD1921" s="8"/>
    </row>
    <row r="1922" spans="29:30" ht="12.75">
      <c r="AC1922" s="8"/>
      <c r="AD1922" s="8"/>
    </row>
    <row r="1923" spans="29:30" ht="12.75">
      <c r="AC1923" s="8"/>
      <c r="AD1923" s="8"/>
    </row>
    <row r="1924" spans="29:30" ht="12.75">
      <c r="AC1924" s="8"/>
      <c r="AD1924" s="8"/>
    </row>
    <row r="1925" spans="29:30" ht="12.75">
      <c r="AC1925" s="8"/>
      <c r="AD1925" s="8"/>
    </row>
    <row r="1926" spans="29:30" ht="12.75">
      <c r="AC1926" s="8"/>
      <c r="AD1926" s="8"/>
    </row>
    <row r="1927" spans="29:30" ht="12.75">
      <c r="AC1927" s="8"/>
      <c r="AD1927" s="8"/>
    </row>
    <row r="1928" spans="29:30" ht="12.75">
      <c r="AC1928" s="8"/>
      <c r="AD1928" s="8"/>
    </row>
    <row r="1929" spans="29:30" ht="12.75">
      <c r="AC1929" s="8"/>
      <c r="AD1929" s="8"/>
    </row>
    <row r="1930" spans="29:30" ht="12.75">
      <c r="AC1930" s="8"/>
      <c r="AD1930" s="8"/>
    </row>
    <row r="1931" spans="29:30" ht="12.75">
      <c r="AC1931" s="8"/>
      <c r="AD1931" s="8"/>
    </row>
    <row r="1932" spans="29:30" ht="12.75">
      <c r="AC1932" s="8"/>
      <c r="AD1932" s="8"/>
    </row>
    <row r="1933" spans="29:30" ht="12.75">
      <c r="AC1933" s="8"/>
      <c r="AD1933" s="8"/>
    </row>
    <row r="1934" spans="29:30" ht="12.75">
      <c r="AC1934" s="8"/>
      <c r="AD1934" s="8"/>
    </row>
    <row r="1935" spans="29:30" ht="12.75">
      <c r="AC1935" s="8"/>
      <c r="AD1935" s="8"/>
    </row>
    <row r="1936" spans="29:30" ht="12.75">
      <c r="AC1936" s="8"/>
      <c r="AD1936" s="8"/>
    </row>
    <row r="1937" spans="29:30" ht="12.75">
      <c r="AC1937" s="8"/>
      <c r="AD1937" s="8"/>
    </row>
    <row r="1938" spans="29:30" ht="12.75">
      <c r="AC1938" s="8"/>
      <c r="AD1938" s="8"/>
    </row>
    <row r="1939" spans="29:30" ht="12.75">
      <c r="AC1939" s="8"/>
      <c r="AD1939" s="8"/>
    </row>
    <row r="1940" spans="29:30" ht="12.75">
      <c r="AC1940" s="8"/>
      <c r="AD1940" s="8"/>
    </row>
    <row r="1941" spans="29:30" ht="12.75">
      <c r="AC1941" s="8"/>
      <c r="AD1941" s="8"/>
    </row>
    <row r="1942" spans="29:30" ht="12.75">
      <c r="AC1942" s="8"/>
      <c r="AD1942" s="8"/>
    </row>
    <row r="1943" spans="29:30" ht="12.75">
      <c r="AC1943" s="8"/>
      <c r="AD1943" s="8"/>
    </row>
    <row r="1944" spans="29:30" ht="12.75">
      <c r="AC1944" s="8"/>
      <c r="AD1944" s="8"/>
    </row>
    <row r="1945" spans="29:30" ht="12.75">
      <c r="AC1945" s="8"/>
      <c r="AD1945" s="8"/>
    </row>
    <row r="1946" spans="29:30" ht="12.75">
      <c r="AC1946" s="8"/>
      <c r="AD1946" s="8"/>
    </row>
    <row r="1947" spans="29:30" ht="12.75">
      <c r="AC1947" s="8"/>
      <c r="AD1947" s="8"/>
    </row>
    <row r="1948" spans="29:30" ht="12.75">
      <c r="AC1948" s="8"/>
      <c r="AD1948" s="8"/>
    </row>
    <row r="1949" spans="29:30" ht="12.75">
      <c r="AC1949" s="8"/>
      <c r="AD1949" s="8"/>
    </row>
    <row r="1950" spans="29:30" ht="12.75">
      <c r="AC1950" s="8"/>
      <c r="AD1950" s="8"/>
    </row>
    <row r="1951" spans="29:30" ht="12.75">
      <c r="AC1951" s="8"/>
      <c r="AD1951" s="8"/>
    </row>
    <row r="1952" spans="29:30" ht="12.75">
      <c r="AC1952" s="8"/>
      <c r="AD1952" s="8"/>
    </row>
    <row r="1953" spans="29:30" ht="12.75">
      <c r="AC1953" s="8"/>
      <c r="AD1953" s="8"/>
    </row>
    <row r="1954" spans="29:30" ht="12.75">
      <c r="AC1954" s="8"/>
      <c r="AD1954" s="8"/>
    </row>
    <row r="1955" spans="29:30" ht="12.75">
      <c r="AC1955" s="8"/>
      <c r="AD1955" s="8"/>
    </row>
    <row r="1956" spans="29:30" ht="12.75">
      <c r="AC1956" s="8"/>
      <c r="AD1956" s="8"/>
    </row>
    <row r="1957" spans="29:30" ht="12.75">
      <c r="AC1957" s="8"/>
      <c r="AD1957" s="8"/>
    </row>
    <row r="1958" spans="29:30" ht="12.75">
      <c r="AC1958" s="8"/>
      <c r="AD1958" s="8"/>
    </row>
    <row r="1959" spans="29:30" ht="12.75">
      <c r="AC1959" s="8"/>
      <c r="AD1959" s="8"/>
    </row>
    <row r="1960" spans="29:30" ht="12.75">
      <c r="AC1960" s="8"/>
      <c r="AD1960" s="8"/>
    </row>
    <row r="1961" spans="29:30" ht="12.75">
      <c r="AC1961" s="8"/>
      <c r="AD1961" s="8"/>
    </row>
    <row r="1962" spans="29:30" ht="12.75">
      <c r="AC1962" s="8"/>
      <c r="AD1962" s="8"/>
    </row>
    <row r="1963" spans="29:30" ht="12.75">
      <c r="AC1963" s="8"/>
      <c r="AD1963" s="8"/>
    </row>
    <row r="1964" spans="29:30" ht="12.75">
      <c r="AC1964" s="8"/>
      <c r="AD1964" s="8"/>
    </row>
    <row r="1965" spans="29:30" ht="12.75">
      <c r="AC1965" s="8"/>
      <c r="AD1965" s="8"/>
    </row>
    <row r="1966" spans="29:30" ht="12.75">
      <c r="AC1966" s="8"/>
      <c r="AD1966" s="8"/>
    </row>
    <row r="1967" spans="29:30" ht="12.75">
      <c r="AC1967" s="8"/>
      <c r="AD1967" s="8"/>
    </row>
    <row r="1968" spans="29:30" ht="12.75">
      <c r="AC1968" s="8"/>
      <c r="AD1968" s="8"/>
    </row>
    <row r="1969" spans="29:30" ht="12.75">
      <c r="AC1969" s="8"/>
      <c r="AD1969" s="8"/>
    </row>
    <row r="1970" spans="29:30" ht="12.75">
      <c r="AC1970" s="8"/>
      <c r="AD1970" s="8"/>
    </row>
    <row r="1971" spans="29:30" ht="12.75">
      <c r="AC1971" s="8"/>
      <c r="AD1971" s="8"/>
    </row>
    <row r="1972" spans="29:30" ht="12.75">
      <c r="AC1972" s="8"/>
      <c r="AD1972" s="8"/>
    </row>
    <row r="1973" spans="29:30" ht="12.75">
      <c r="AC1973" s="8"/>
      <c r="AD1973" s="8"/>
    </row>
    <row r="1974" spans="29:30" ht="12.75">
      <c r="AC1974" s="8"/>
      <c r="AD1974" s="8"/>
    </row>
    <row r="1975" spans="29:30" ht="12.75">
      <c r="AC1975" s="8"/>
      <c r="AD1975" s="8"/>
    </row>
    <row r="1976" spans="29:30" ht="12.75">
      <c r="AC1976" s="8"/>
      <c r="AD1976" s="8"/>
    </row>
    <row r="1977" spans="29:30" ht="12.75">
      <c r="AC1977" s="8"/>
      <c r="AD1977" s="8"/>
    </row>
    <row r="1978" spans="29:30" ht="12.75">
      <c r="AC1978" s="8"/>
      <c r="AD1978" s="8"/>
    </row>
    <row r="1979" spans="29:30" ht="12.75">
      <c r="AC1979" s="8"/>
      <c r="AD1979" s="8"/>
    </row>
    <row r="1980" spans="29:30" ht="12.75">
      <c r="AC1980" s="8"/>
      <c r="AD1980" s="8"/>
    </row>
    <row r="1981" spans="29:30" ht="12.75">
      <c r="AC1981" s="8"/>
      <c r="AD1981" s="8"/>
    </row>
    <row r="1982" spans="29:30" ht="12.75">
      <c r="AC1982" s="8"/>
      <c r="AD1982" s="8"/>
    </row>
    <row r="1983" spans="29:30" ht="12.75">
      <c r="AC1983" s="8"/>
      <c r="AD1983" s="8"/>
    </row>
    <row r="1984" spans="29:30" ht="12.75">
      <c r="AC1984" s="8"/>
      <c r="AD1984" s="8"/>
    </row>
    <row r="1985" spans="29:30" ht="12.75">
      <c r="AC1985" s="8"/>
      <c r="AD1985" s="8"/>
    </row>
    <row r="1986" spans="29:30" ht="12.75">
      <c r="AC1986" s="8"/>
      <c r="AD1986" s="8"/>
    </row>
    <row r="1987" spans="29:30" ht="12.75">
      <c r="AC1987" s="8"/>
      <c r="AD1987" s="8"/>
    </row>
    <row r="1988" spans="29:30" ht="12.75">
      <c r="AC1988" s="8"/>
      <c r="AD1988" s="8"/>
    </row>
    <row r="1989" spans="29:30" ht="12.75">
      <c r="AC1989" s="8"/>
      <c r="AD1989" s="8"/>
    </row>
    <row r="1990" spans="29:30" ht="12.75">
      <c r="AC1990" s="8"/>
      <c r="AD1990" s="8"/>
    </row>
    <row r="1991" spans="29:30" ht="12.75">
      <c r="AC1991" s="8"/>
      <c r="AD1991" s="8"/>
    </row>
    <row r="1992" spans="29:30" ht="12.75">
      <c r="AC1992" s="8"/>
      <c r="AD1992" s="8"/>
    </row>
    <row r="1993" spans="29:30" ht="12.75">
      <c r="AC1993" s="8"/>
      <c r="AD1993" s="8"/>
    </row>
    <row r="1994" spans="29:30" ht="12.75">
      <c r="AC1994" s="8"/>
      <c r="AD1994" s="8"/>
    </row>
    <row r="1995" spans="29:30" ht="12.75">
      <c r="AC1995" s="8"/>
      <c r="AD1995" s="8"/>
    </row>
    <row r="1996" spans="29:30" ht="12.75">
      <c r="AC1996" s="8"/>
      <c r="AD1996" s="8"/>
    </row>
    <row r="1997" spans="29:30" ht="12.75">
      <c r="AC1997" s="8"/>
      <c r="AD1997" s="8"/>
    </row>
    <row r="1998" spans="29:30" ht="12.75">
      <c r="AC1998" s="8"/>
      <c r="AD1998" s="8"/>
    </row>
    <row r="1999" spans="29:30" ht="12.75">
      <c r="AC1999" s="8"/>
      <c r="AD1999" s="8"/>
    </row>
    <row r="2000" spans="29:30" ht="12.75">
      <c r="AC2000" s="8"/>
      <c r="AD2000" s="8"/>
    </row>
    <row r="2001" spans="29:30" ht="12.75">
      <c r="AC2001" s="8"/>
      <c r="AD2001" s="8"/>
    </row>
    <row r="2002" spans="29:30" ht="12.75">
      <c r="AC2002" s="8"/>
      <c r="AD2002" s="8"/>
    </row>
    <row r="2003" spans="29:30" ht="12.75">
      <c r="AC2003" s="8"/>
      <c r="AD2003" s="8"/>
    </row>
    <row r="2004" spans="29:30" ht="12.75">
      <c r="AC2004" s="8"/>
      <c r="AD2004" s="8"/>
    </row>
    <row r="2005" spans="29:30" ht="12.75">
      <c r="AC2005" s="8"/>
      <c r="AD2005" s="8"/>
    </row>
    <row r="2006" spans="29:30" ht="12.75">
      <c r="AC2006" s="8"/>
      <c r="AD2006" s="8"/>
    </row>
    <row r="2007" spans="29:30" ht="12.75">
      <c r="AC2007" s="8"/>
      <c r="AD2007" s="8"/>
    </row>
    <row r="2008" spans="29:30" ht="12.75">
      <c r="AC2008" s="8"/>
      <c r="AD2008" s="8"/>
    </row>
    <row r="2009" spans="29:30" ht="12.75">
      <c r="AC2009" s="8"/>
      <c r="AD2009" s="8"/>
    </row>
    <row r="2010" spans="29:30" ht="12.75">
      <c r="AC2010" s="8"/>
      <c r="AD2010" s="8"/>
    </row>
    <row r="2011" spans="29:30" ht="12.75">
      <c r="AC2011" s="8"/>
      <c r="AD2011" s="8"/>
    </row>
    <row r="2012" spans="29:30" ht="12.75">
      <c r="AC2012" s="8"/>
      <c r="AD2012" s="8"/>
    </row>
    <row r="2013" spans="29:30" ht="12.75">
      <c r="AC2013" s="8"/>
      <c r="AD2013" s="8"/>
    </row>
    <row r="2014" spans="29:30" ht="12.75">
      <c r="AC2014" s="8"/>
      <c r="AD2014" s="8"/>
    </row>
    <row r="2015" spans="29:30" ht="12.75">
      <c r="AC2015" s="8"/>
      <c r="AD2015" s="8"/>
    </row>
    <row r="2016" spans="29:30" ht="12.75">
      <c r="AC2016" s="8"/>
      <c r="AD2016" s="8"/>
    </row>
    <row r="2017" spans="29:30" ht="12.75">
      <c r="AC2017" s="8"/>
      <c r="AD2017" s="8"/>
    </row>
    <row r="2018" spans="29:30" ht="12.75">
      <c r="AC2018" s="8"/>
      <c r="AD2018" s="8"/>
    </row>
    <row r="2019" spans="29:30" ht="12.75">
      <c r="AC2019" s="8"/>
      <c r="AD2019" s="8"/>
    </row>
    <row r="2020" spans="29:30" ht="12.75">
      <c r="AC2020" s="8"/>
      <c r="AD2020" s="8"/>
    </row>
    <row r="2021" spans="29:30" ht="12.75">
      <c r="AC2021" s="8"/>
      <c r="AD2021" s="8"/>
    </row>
    <row r="2022" spans="29:30" ht="12.75">
      <c r="AC2022" s="8"/>
      <c r="AD2022" s="8"/>
    </row>
    <row r="2023" spans="29:30" ht="12.75">
      <c r="AC2023" s="8"/>
      <c r="AD2023" s="8"/>
    </row>
    <row r="2024" spans="29:30" ht="12.75">
      <c r="AC2024" s="8"/>
      <c r="AD2024" s="8"/>
    </row>
    <row r="2025" spans="29:30" ht="12.75">
      <c r="AC2025" s="8"/>
      <c r="AD2025" s="8"/>
    </row>
    <row r="2026" spans="29:30" ht="12.75">
      <c r="AC2026" s="8"/>
      <c r="AD2026" s="8"/>
    </row>
    <row r="2027" spans="29:30" ht="12.75">
      <c r="AC2027" s="8"/>
      <c r="AD2027" s="8"/>
    </row>
    <row r="2028" spans="29:30" ht="12.75">
      <c r="AC2028" s="8"/>
      <c r="AD2028" s="8"/>
    </row>
    <row r="2029" spans="29:30" ht="12.75">
      <c r="AC2029" s="8"/>
      <c r="AD2029" s="8"/>
    </row>
    <row r="2030" spans="29:30" ht="12.75">
      <c r="AC2030" s="8"/>
      <c r="AD2030" s="8"/>
    </row>
    <row r="2031" spans="29:30" ht="12.75">
      <c r="AC2031" s="8"/>
      <c r="AD2031" s="8"/>
    </row>
    <row r="2032" spans="29:30" ht="12.75">
      <c r="AC2032" s="8"/>
      <c r="AD2032" s="8"/>
    </row>
    <row r="2033" spans="29:30" ht="12.75">
      <c r="AC2033" s="8"/>
      <c r="AD2033" s="8"/>
    </row>
    <row r="2034" spans="29:30" ht="12.75">
      <c r="AC2034" s="8"/>
      <c r="AD2034" s="8"/>
    </row>
    <row r="2035" spans="29:30" ht="12.75">
      <c r="AC2035" s="8"/>
      <c r="AD2035" s="8"/>
    </row>
    <row r="2036" spans="29:30" ht="12.75">
      <c r="AC2036" s="8"/>
      <c r="AD2036" s="8"/>
    </row>
    <row r="2037" spans="29:30" ht="12.75">
      <c r="AC2037" s="8"/>
      <c r="AD2037" s="8"/>
    </row>
    <row r="2038" spans="29:30" ht="12.75">
      <c r="AC2038" s="8"/>
      <c r="AD2038" s="8"/>
    </row>
    <row r="2039" spans="29:30" ht="12.75">
      <c r="AC2039" s="8"/>
      <c r="AD2039" s="8"/>
    </row>
    <row r="2040" spans="29:30" ht="12.75">
      <c r="AC2040" s="8"/>
      <c r="AD2040" s="8"/>
    </row>
    <row r="2041" spans="29:30" ht="12.75">
      <c r="AC2041" s="8"/>
      <c r="AD2041" s="8"/>
    </row>
    <row r="2042" spans="29:30" ht="12.75">
      <c r="AC2042" s="8"/>
      <c r="AD2042" s="8"/>
    </row>
    <row r="2043" spans="29:30" ht="12.75">
      <c r="AC2043" s="8"/>
      <c r="AD2043" s="8"/>
    </row>
    <row r="2044" spans="29:30" ht="12.75">
      <c r="AC2044" s="8"/>
      <c r="AD2044" s="8"/>
    </row>
    <row r="2045" spans="29:30" ht="12.75">
      <c r="AC2045" s="8"/>
      <c r="AD2045" s="8"/>
    </row>
    <row r="2046" spans="29:30" ht="12.75">
      <c r="AC2046" s="8"/>
      <c r="AD2046" s="8"/>
    </row>
    <row r="2047" spans="29:30" ht="12.75">
      <c r="AC2047" s="8"/>
      <c r="AD2047" s="8"/>
    </row>
    <row r="2048" spans="29:30" ht="12.75">
      <c r="AC2048" s="8"/>
      <c r="AD2048" s="8"/>
    </row>
    <row r="2049" spans="29:30" ht="12.75">
      <c r="AC2049" s="8"/>
      <c r="AD2049" s="8"/>
    </row>
    <row r="2050" spans="29:30" ht="12.75">
      <c r="AC2050" s="8"/>
      <c r="AD2050" s="8"/>
    </row>
    <row r="2051" spans="29:30" ht="12.75">
      <c r="AC2051" s="8"/>
      <c r="AD2051" s="8"/>
    </row>
    <row r="2052" spans="29:30" ht="12.75">
      <c r="AC2052" s="8"/>
      <c r="AD2052" s="8"/>
    </row>
    <row r="2053" spans="29:30" ht="12.75">
      <c r="AC2053" s="8"/>
      <c r="AD2053" s="8"/>
    </row>
    <row r="2054" spans="29:30" ht="12.75">
      <c r="AC2054" s="8"/>
      <c r="AD2054" s="8"/>
    </row>
    <row r="2055" spans="29:30" ht="12.75">
      <c r="AC2055" s="8"/>
      <c r="AD2055" s="8"/>
    </row>
    <row r="2056" spans="29:30" ht="12.75">
      <c r="AC2056" s="8"/>
      <c r="AD2056" s="8"/>
    </row>
    <row r="2057" spans="29:30" ht="12.75">
      <c r="AC2057" s="8"/>
      <c r="AD2057" s="8"/>
    </row>
    <row r="2058" spans="29:30" ht="12.75">
      <c r="AC2058" s="8"/>
      <c r="AD2058" s="8"/>
    </row>
    <row r="2059" spans="29:30" ht="12.75">
      <c r="AC2059" s="8"/>
      <c r="AD2059" s="8"/>
    </row>
    <row r="2060" spans="29:30" ht="12.75">
      <c r="AC2060" s="8"/>
      <c r="AD2060" s="8"/>
    </row>
    <row r="2061" spans="29:30" ht="12.75">
      <c r="AC2061" s="8"/>
      <c r="AD2061" s="8"/>
    </row>
    <row r="2062" spans="29:30" ht="12.75">
      <c r="AC2062" s="8"/>
      <c r="AD2062" s="8"/>
    </row>
    <row r="2063" spans="29:30" ht="12.75">
      <c r="AC2063" s="8"/>
      <c r="AD2063" s="8"/>
    </row>
    <row r="2064" spans="29:30" ht="12.75">
      <c r="AC2064" s="8"/>
      <c r="AD2064" s="8"/>
    </row>
    <row r="2065" spans="29:30" ht="12.75">
      <c r="AC2065" s="8"/>
      <c r="AD2065" s="8"/>
    </row>
    <row r="2066" spans="29:30" ht="12.75">
      <c r="AC2066" s="8"/>
      <c r="AD2066" s="8"/>
    </row>
    <row r="2067" spans="29:30" ht="12.75">
      <c r="AC2067" s="8"/>
      <c r="AD2067" s="8"/>
    </row>
    <row r="2068" spans="29:30" ht="12.75">
      <c r="AC2068" s="8"/>
      <c r="AD2068" s="8"/>
    </row>
    <row r="2069" spans="29:30" ht="12.75">
      <c r="AC2069" s="8"/>
      <c r="AD2069" s="8"/>
    </row>
    <row r="2070" spans="29:30" ht="12.75">
      <c r="AC2070" s="8"/>
      <c r="AD2070" s="8"/>
    </row>
    <row r="2071" spans="29:30" ht="12.75">
      <c r="AC2071" s="8"/>
      <c r="AD2071" s="8"/>
    </row>
    <row r="2072" spans="29:30" ht="12.75">
      <c r="AC2072" s="8"/>
      <c r="AD2072" s="8"/>
    </row>
    <row r="2073" spans="29:30" ht="12.75">
      <c r="AC2073" s="8"/>
      <c r="AD2073" s="8"/>
    </row>
    <row r="2074" spans="29:30" ht="12.75">
      <c r="AC2074" s="8"/>
      <c r="AD2074" s="8"/>
    </row>
    <row r="2075" spans="29:30" ht="12.75">
      <c r="AC2075" s="8"/>
      <c r="AD2075" s="8"/>
    </row>
    <row r="2076" spans="29:30" ht="12.75">
      <c r="AC2076" s="8"/>
      <c r="AD2076" s="8"/>
    </row>
    <row r="2077" spans="29:30" ht="12.75">
      <c r="AC2077" s="8"/>
      <c r="AD2077" s="8"/>
    </row>
    <row r="2078" spans="29:30" ht="12.75">
      <c r="AC2078" s="8"/>
      <c r="AD2078" s="8"/>
    </row>
    <row r="2079" spans="29:30" ht="12.75">
      <c r="AC2079" s="8"/>
      <c r="AD2079" s="8"/>
    </row>
    <row r="2080" spans="29:30" ht="12.75">
      <c r="AC2080" s="8"/>
      <c r="AD2080" s="8"/>
    </row>
    <row r="2081" spans="29:30" ht="12.75">
      <c r="AC2081" s="8"/>
      <c r="AD2081" s="8"/>
    </row>
    <row r="2082" spans="29:30" ht="12.75">
      <c r="AC2082" s="8"/>
      <c r="AD2082" s="8"/>
    </row>
    <row r="2083" spans="29:30" ht="12.75">
      <c r="AC2083" s="8"/>
      <c r="AD2083" s="8"/>
    </row>
    <row r="2084" spans="29:30" ht="12.75">
      <c r="AC2084" s="8"/>
      <c r="AD2084" s="8"/>
    </row>
    <row r="2085" spans="29:30" ht="12.75">
      <c r="AC2085" s="8"/>
      <c r="AD2085" s="8"/>
    </row>
    <row r="2086" spans="29:30" ht="12.75">
      <c r="AC2086" s="8"/>
      <c r="AD2086" s="8"/>
    </row>
    <row r="2087" spans="29:30" ht="12.75">
      <c r="AC2087" s="8"/>
      <c r="AD2087" s="8"/>
    </row>
    <row r="2088" spans="29:30" ht="12.75">
      <c r="AC2088" s="8"/>
      <c r="AD2088" s="8"/>
    </row>
    <row r="2089" spans="29:30" ht="12.75">
      <c r="AC2089" s="8"/>
      <c r="AD2089" s="8"/>
    </row>
    <row r="2090" spans="29:30" ht="12.75">
      <c r="AC2090" s="8"/>
      <c r="AD2090" s="8"/>
    </row>
    <row r="2091" spans="29:30" ht="12.75">
      <c r="AC2091" s="8"/>
      <c r="AD2091" s="8"/>
    </row>
    <row r="2092" spans="29:30" ht="12.75">
      <c r="AC2092" s="8"/>
      <c r="AD2092" s="8"/>
    </row>
    <row r="2093" spans="29:30" ht="12.75">
      <c r="AC2093" s="8"/>
      <c r="AD2093" s="8"/>
    </row>
    <row r="2094" spans="29:30" ht="12.75">
      <c r="AC2094" s="8"/>
      <c r="AD2094" s="8"/>
    </row>
    <row r="2095" spans="29:30" ht="12.75">
      <c r="AC2095" s="8"/>
      <c r="AD2095" s="8"/>
    </row>
    <row r="2096" spans="29:30" ht="12.75">
      <c r="AC2096" s="8"/>
      <c r="AD2096" s="8"/>
    </row>
    <row r="2097" spans="29:30" ht="12.75">
      <c r="AC2097" s="8"/>
      <c r="AD2097" s="8"/>
    </row>
    <row r="2098" spans="29:30" ht="12.75">
      <c r="AC2098" s="8"/>
      <c r="AD2098" s="8"/>
    </row>
    <row r="2099" spans="29:30" ht="12.75">
      <c r="AC2099" s="8"/>
      <c r="AD2099" s="8"/>
    </row>
    <row r="2100" spans="29:30" ht="12.75">
      <c r="AC2100" s="8"/>
      <c r="AD2100" s="8"/>
    </row>
    <row r="2101" spans="29:30" ht="12.75">
      <c r="AC2101" s="8"/>
      <c r="AD2101" s="8"/>
    </row>
    <row r="2102" spans="29:30" ht="12.75">
      <c r="AC2102" s="8"/>
      <c r="AD2102" s="8"/>
    </row>
    <row r="2103" spans="29:30" ht="12.75">
      <c r="AC2103" s="8"/>
      <c r="AD2103" s="8"/>
    </row>
    <row r="2104" spans="29:30" ht="12.75">
      <c r="AC2104" s="8"/>
      <c r="AD2104" s="8"/>
    </row>
    <row r="2105" spans="29:30" ht="12.75">
      <c r="AC2105" s="8"/>
      <c r="AD2105" s="8"/>
    </row>
    <row r="2106" spans="29:30" ht="12.75">
      <c r="AC2106" s="8"/>
      <c r="AD2106" s="8"/>
    </row>
    <row r="2107" spans="29:30" ht="12.75">
      <c r="AC2107" s="8"/>
      <c r="AD2107" s="8"/>
    </row>
    <row r="2108" spans="29:30" ht="12.75">
      <c r="AC2108" s="8"/>
      <c r="AD2108" s="8"/>
    </row>
    <row r="2109" spans="29:30" ht="12.75">
      <c r="AC2109" s="8"/>
      <c r="AD2109" s="8"/>
    </row>
    <row r="2110" spans="29:30" ht="12.75">
      <c r="AC2110" s="8"/>
      <c r="AD2110" s="8"/>
    </row>
    <row r="2111" spans="29:30" ht="12.75">
      <c r="AC2111" s="8"/>
      <c r="AD2111" s="8"/>
    </row>
    <row r="2112" spans="29:30" ht="12.75">
      <c r="AC2112" s="8"/>
      <c r="AD2112" s="8"/>
    </row>
    <row r="2113" spans="29:30" ht="12.75">
      <c r="AC2113" s="8"/>
      <c r="AD2113" s="8"/>
    </row>
    <row r="2114" spans="29:30" ht="12.75">
      <c r="AC2114" s="8"/>
      <c r="AD2114" s="8"/>
    </row>
    <row r="2115" spans="29:30" ht="12.75">
      <c r="AC2115" s="8"/>
      <c r="AD2115" s="8"/>
    </row>
    <row r="2116" spans="29:30" ht="12.75">
      <c r="AC2116" s="8"/>
      <c r="AD2116" s="8"/>
    </row>
    <row r="2117" spans="29:30" ht="12.75">
      <c r="AC2117" s="8"/>
      <c r="AD2117" s="8"/>
    </row>
    <row r="2118" spans="29:30" ht="12.75">
      <c r="AC2118" s="8"/>
      <c r="AD2118" s="8"/>
    </row>
    <row r="2119" spans="29:30" ht="12.75">
      <c r="AC2119" s="8"/>
      <c r="AD2119" s="8"/>
    </row>
    <row r="2120" spans="29:30" ht="12.75">
      <c r="AC2120" s="8"/>
      <c r="AD2120" s="8"/>
    </row>
    <row r="2121" spans="29:30" ht="12.75">
      <c r="AC2121" s="8"/>
      <c r="AD2121" s="8"/>
    </row>
    <row r="2122" spans="29:30" ht="12.75">
      <c r="AC2122" s="8"/>
      <c r="AD2122" s="8"/>
    </row>
    <row r="2123" spans="29:30" ht="12.75">
      <c r="AC2123" s="8"/>
      <c r="AD2123" s="8"/>
    </row>
    <row r="2124" spans="29:30" ht="12.75">
      <c r="AC2124" s="8"/>
      <c r="AD2124" s="8"/>
    </row>
    <row r="2125" spans="29:30" ht="12.75">
      <c r="AC2125" s="8"/>
      <c r="AD2125" s="8"/>
    </row>
    <row r="2126" spans="29:30" ht="12.75">
      <c r="AC2126" s="8"/>
      <c r="AD2126" s="8"/>
    </row>
    <row r="2127" spans="29:30" ht="12.75">
      <c r="AC2127" s="8"/>
      <c r="AD2127" s="8"/>
    </row>
    <row r="2128" spans="29:30" ht="12.75">
      <c r="AC2128" s="8"/>
      <c r="AD2128" s="8"/>
    </row>
    <row r="2129" spans="29:30" ht="12.75">
      <c r="AC2129" s="8"/>
      <c r="AD2129" s="8"/>
    </row>
    <row r="2130" spans="29:30" ht="12.75">
      <c r="AC2130" s="8"/>
      <c r="AD2130" s="8"/>
    </row>
    <row r="2131" spans="29:30" ht="12.75">
      <c r="AC2131" s="8"/>
      <c r="AD2131" s="8"/>
    </row>
    <row r="2132" spans="29:30" ht="12.75">
      <c r="AC2132" s="8"/>
      <c r="AD2132" s="8"/>
    </row>
    <row r="2133" spans="29:30" ht="12.75">
      <c r="AC2133" s="8"/>
      <c r="AD2133" s="8"/>
    </row>
    <row r="2134" spans="29:30" ht="12.75">
      <c r="AC2134" s="8"/>
      <c r="AD2134" s="8"/>
    </row>
    <row r="2135" spans="29:30" ht="12.75">
      <c r="AC2135" s="8"/>
      <c r="AD2135" s="8"/>
    </row>
    <row r="2136" spans="29:30" ht="12.75">
      <c r="AC2136" s="8"/>
      <c r="AD2136" s="8"/>
    </row>
    <row r="2137" spans="29:30" ht="12.75">
      <c r="AC2137" s="8"/>
      <c r="AD2137" s="8"/>
    </row>
    <row r="2138" spans="29:30" ht="12.75">
      <c r="AC2138" s="8"/>
      <c r="AD2138" s="8"/>
    </row>
    <row r="2139" spans="29:30" ht="12.75">
      <c r="AC2139" s="8"/>
      <c r="AD2139" s="8"/>
    </row>
    <row r="2140" spans="29:30" ht="12.75">
      <c r="AC2140" s="8"/>
      <c r="AD2140" s="8"/>
    </row>
    <row r="2141" spans="29:30" ht="12.75">
      <c r="AC2141" s="8"/>
      <c r="AD2141" s="8"/>
    </row>
    <row r="2142" spans="29:30" ht="12.75">
      <c r="AC2142" s="8"/>
      <c r="AD2142" s="8"/>
    </row>
    <row r="2143" spans="29:30" ht="12.75">
      <c r="AC2143" s="8"/>
      <c r="AD2143" s="8"/>
    </row>
    <row r="2144" spans="29:30" ht="12.75">
      <c r="AC2144" s="8"/>
      <c r="AD2144" s="8"/>
    </row>
    <row r="2145" spans="29:30" ht="12.75">
      <c r="AC2145" s="8"/>
      <c r="AD2145" s="8"/>
    </row>
    <row r="2146" spans="29:30" ht="12.75">
      <c r="AC2146" s="8"/>
      <c r="AD2146" s="8"/>
    </row>
    <row r="2147" spans="29:30" ht="12.75">
      <c r="AC2147" s="8"/>
      <c r="AD2147" s="8"/>
    </row>
    <row r="2148" spans="29:30" ht="12.75">
      <c r="AC2148" s="8"/>
      <c r="AD2148" s="8"/>
    </row>
    <row r="2149" spans="29:30" ht="12.75">
      <c r="AC2149" s="8"/>
      <c r="AD2149" s="8"/>
    </row>
    <row r="2150" spans="29:30" ht="12.75">
      <c r="AC2150" s="8"/>
      <c r="AD2150" s="8"/>
    </row>
    <row r="2151" spans="29:30" ht="12.75">
      <c r="AC2151" s="8"/>
      <c r="AD2151" s="8"/>
    </row>
    <row r="2152" spans="29:30" ht="12.75">
      <c r="AC2152" s="8"/>
      <c r="AD2152" s="8"/>
    </row>
    <row r="2153" spans="29:30" ht="12.75">
      <c r="AC2153" s="8"/>
      <c r="AD2153" s="8"/>
    </row>
    <row r="2154" spans="29:30" ht="12.75">
      <c r="AC2154" s="8"/>
      <c r="AD2154" s="8"/>
    </row>
    <row r="2155" spans="29:30" ht="12.75">
      <c r="AC2155" s="8"/>
      <c r="AD2155" s="8"/>
    </row>
    <row r="2156" spans="29:30" ht="12.75">
      <c r="AC2156" s="8"/>
      <c r="AD2156" s="8"/>
    </row>
    <row r="2157" spans="29:30" ht="12.75">
      <c r="AC2157" s="8"/>
      <c r="AD2157" s="8"/>
    </row>
    <row r="2158" spans="29:30" ht="12.75">
      <c r="AC2158" s="8"/>
      <c r="AD2158" s="8"/>
    </row>
    <row r="2159" spans="29:30" ht="12.75">
      <c r="AC2159" s="8"/>
      <c r="AD2159" s="8"/>
    </row>
    <row r="2160" spans="29:30" ht="12.75">
      <c r="AC2160" s="8"/>
      <c r="AD2160" s="8"/>
    </row>
    <row r="2161" spans="29:30" ht="12.75">
      <c r="AC2161" s="8"/>
      <c r="AD2161" s="8"/>
    </row>
    <row r="2162" spans="29:30" ht="12.75">
      <c r="AC2162" s="8"/>
      <c r="AD2162" s="8"/>
    </row>
    <row r="2163" spans="29:30" ht="12.75">
      <c r="AC2163" s="8"/>
      <c r="AD2163" s="8"/>
    </row>
    <row r="2164" spans="29:30" ht="12.75">
      <c r="AC2164" s="8"/>
      <c r="AD2164" s="8"/>
    </row>
    <row r="2165" spans="29:30" ht="12.75">
      <c r="AC2165" s="8"/>
      <c r="AD2165" s="8"/>
    </row>
    <row r="2166" spans="29:30" ht="12.75">
      <c r="AC2166" s="8"/>
      <c r="AD2166" s="8"/>
    </row>
    <row r="2167" spans="29:30" ht="12.75">
      <c r="AC2167" s="8"/>
      <c r="AD2167" s="8"/>
    </row>
    <row r="2168" spans="29:30" ht="12.75">
      <c r="AC2168" s="8"/>
      <c r="AD2168" s="8"/>
    </row>
    <row r="2169" spans="29:30" ht="12.75">
      <c r="AC2169" s="8"/>
      <c r="AD2169" s="8"/>
    </row>
    <row r="2170" spans="29:30" ht="12.75">
      <c r="AC2170" s="8"/>
      <c r="AD2170" s="8"/>
    </row>
    <row r="2171" spans="29:30" ht="12.75">
      <c r="AC2171" s="8"/>
      <c r="AD2171" s="8"/>
    </row>
    <row r="2172" spans="29:30" ht="12.75">
      <c r="AC2172" s="8"/>
      <c r="AD2172" s="8"/>
    </row>
    <row r="2173" spans="29:30" ht="12.75">
      <c r="AC2173" s="8"/>
      <c r="AD2173" s="8"/>
    </row>
    <row r="2174" spans="29:30" ht="12.75">
      <c r="AC2174" s="8"/>
      <c r="AD2174" s="8"/>
    </row>
    <row r="2175" spans="29:30" ht="12.75">
      <c r="AC2175" s="8"/>
      <c r="AD2175" s="8"/>
    </row>
    <row r="2176" spans="29:30" ht="12.75">
      <c r="AC2176" s="8"/>
      <c r="AD2176" s="8"/>
    </row>
    <row r="2177" spans="29:30" ht="12.75">
      <c r="AC2177" s="8"/>
      <c r="AD2177" s="8"/>
    </row>
    <row r="2178" spans="29:30" ht="12.75">
      <c r="AC2178" s="8"/>
      <c r="AD2178" s="8"/>
    </row>
    <row r="2179" spans="29:30" ht="12.75">
      <c r="AC2179" s="8"/>
      <c r="AD2179" s="8"/>
    </row>
    <row r="2180" spans="29:30" ht="12.75">
      <c r="AC2180" s="8"/>
      <c r="AD2180" s="8"/>
    </row>
    <row r="2181" spans="29:30" ht="12.75">
      <c r="AC2181" s="8"/>
      <c r="AD2181" s="8"/>
    </row>
    <row r="2182" spans="29:30" ht="12.75">
      <c r="AC2182" s="8"/>
      <c r="AD2182" s="8"/>
    </row>
    <row r="2183" spans="29:30" ht="12.75">
      <c r="AC2183" s="8"/>
      <c r="AD2183" s="8"/>
    </row>
    <row r="2184" spans="29:30" ht="12.75">
      <c r="AC2184" s="8"/>
      <c r="AD2184" s="8"/>
    </row>
    <row r="2185" spans="29:30" ht="12.75">
      <c r="AC2185" s="8"/>
      <c r="AD2185" s="8"/>
    </row>
    <row r="2186" spans="29:30" ht="12.75">
      <c r="AC2186" s="8"/>
      <c r="AD2186" s="8"/>
    </row>
    <row r="2187" spans="29:30" ht="12.75">
      <c r="AC2187" s="8"/>
      <c r="AD2187" s="8"/>
    </row>
    <row r="2188" spans="29:30" ht="12.75">
      <c r="AC2188" s="8"/>
      <c r="AD2188" s="8"/>
    </row>
    <row r="2189" spans="29:30" ht="12.75">
      <c r="AC2189" s="8"/>
      <c r="AD2189" s="8"/>
    </row>
    <row r="2190" spans="29:30" ht="12.75">
      <c r="AC2190" s="8"/>
      <c r="AD2190" s="8"/>
    </row>
    <row r="2191" spans="29:30" ht="12.75">
      <c r="AC2191" s="8"/>
      <c r="AD2191" s="8"/>
    </row>
    <row r="2192" spans="29:30" ht="12.75">
      <c r="AC2192" s="8"/>
      <c r="AD2192" s="8"/>
    </row>
    <row r="2193" spans="29:30" ht="12.75">
      <c r="AC2193" s="8"/>
      <c r="AD2193" s="8"/>
    </row>
    <row r="2194" spans="29:30" ht="12.75">
      <c r="AC2194" s="8"/>
      <c r="AD2194" s="8"/>
    </row>
    <row r="2195" spans="29:30" ht="12.75">
      <c r="AC2195" s="8"/>
      <c r="AD2195" s="8"/>
    </row>
    <row r="2196" spans="29:30" ht="12.75">
      <c r="AC2196" s="8"/>
      <c r="AD2196" s="8"/>
    </row>
    <row r="2197" spans="29:30" ht="12.75">
      <c r="AC2197" s="8"/>
      <c r="AD2197" s="8"/>
    </row>
    <row r="2198" spans="29:30" ht="12.75">
      <c r="AC2198" s="8"/>
      <c r="AD2198" s="8"/>
    </row>
    <row r="2199" spans="29:30" ht="12.75">
      <c r="AC2199" s="8"/>
      <c r="AD2199" s="8"/>
    </row>
    <row r="2200" spans="29:30" ht="12.75">
      <c r="AC2200" s="8"/>
      <c r="AD2200" s="8"/>
    </row>
    <row r="2201" spans="29:30" ht="12.75">
      <c r="AC2201" s="8"/>
      <c r="AD2201" s="8"/>
    </row>
    <row r="2202" spans="29:30" ht="12.75">
      <c r="AC2202" s="8"/>
      <c r="AD2202" s="8"/>
    </row>
    <row r="2203" spans="29:30" ht="12.75">
      <c r="AC2203" s="8"/>
      <c r="AD2203" s="8"/>
    </row>
  </sheetData>
  <printOptions/>
  <pageMargins left="0.7480314960629921" right="0.7480314960629921" top="0.3937007874015748" bottom="0.25" header="0.11811023622047245" footer="0.11811023622047245"/>
  <pageSetup fitToHeight="1" fitToWidth="1" horizontalDpi="600" verticalDpi="600" orientation="landscape" paperSize="9" scale="70" r:id="rId1"/>
  <colBreaks count="4" manualBreakCount="4">
    <brk id="20" max="79" man="1"/>
    <brk id="21" max="81" man="1"/>
    <brk id="22" max="80" man="1"/>
    <brk id="25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4" customWidth="1"/>
    <col min="2" max="3" width="10.00390625" style="0" customWidth="1"/>
    <col min="4" max="4" width="10.00390625" style="146" customWidth="1"/>
    <col min="5" max="5" width="5.28125" style="143" customWidth="1"/>
    <col min="6" max="6" width="5.140625" style="143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46" customWidth="1"/>
    <col min="11" max="11" width="11.7109375" style="0" customWidth="1"/>
    <col min="12" max="13" width="9.140625" style="143" customWidth="1"/>
    <col min="18" max="18" width="9.140625" style="144" customWidth="1"/>
    <col min="20" max="20" width="9.140625" style="145" customWidth="1"/>
  </cols>
  <sheetData>
    <row r="1" spans="2:18" ht="12.75">
      <c r="B1" t="s">
        <v>180</v>
      </c>
      <c r="C1" t="s">
        <v>181</v>
      </c>
      <c r="D1" s="146" t="s">
        <v>182</v>
      </c>
      <c r="E1" s="143" t="s">
        <v>183</v>
      </c>
      <c r="F1" s="143" t="s">
        <v>184</v>
      </c>
      <c r="G1" t="s">
        <v>185</v>
      </c>
      <c r="H1" t="s">
        <v>186</v>
      </c>
      <c r="I1" t="s">
        <v>180</v>
      </c>
      <c r="J1" s="146" t="s">
        <v>187</v>
      </c>
      <c r="K1" t="s">
        <v>195</v>
      </c>
      <c r="L1" s="143" t="s">
        <v>183</v>
      </c>
      <c r="M1" s="143" t="s">
        <v>184</v>
      </c>
      <c r="N1" t="s">
        <v>185</v>
      </c>
      <c r="O1" t="s">
        <v>200</v>
      </c>
      <c r="P1" t="s">
        <v>180</v>
      </c>
      <c r="Q1" t="s">
        <v>181</v>
      </c>
      <c r="R1" s="144" t="s">
        <v>182</v>
      </c>
    </row>
    <row r="2" spans="1:17" ht="12.75">
      <c r="A2" s="144" t="s">
        <v>207</v>
      </c>
      <c r="B2" s="142" t="s">
        <v>188</v>
      </c>
      <c r="C2" s="142"/>
      <c r="E2" s="142"/>
      <c r="F2" s="142"/>
      <c r="G2" s="142"/>
      <c r="H2" s="142"/>
      <c r="I2" s="142"/>
      <c r="K2" s="142"/>
      <c r="N2" s="142"/>
      <c r="O2" s="142"/>
      <c r="P2" s="142"/>
      <c r="Q2" s="142"/>
    </row>
    <row r="3" spans="1:17" ht="12.75">
      <c r="A3" s="144" t="s">
        <v>208</v>
      </c>
      <c r="B3" s="142"/>
      <c r="C3" s="142" t="s">
        <v>189</v>
      </c>
      <c r="E3" s="142"/>
      <c r="F3" s="142"/>
      <c r="G3" s="142"/>
      <c r="H3" s="142"/>
      <c r="I3" s="142"/>
      <c r="K3" s="142"/>
      <c r="N3" s="142"/>
      <c r="O3" s="142"/>
      <c r="P3" s="142"/>
      <c r="Q3" s="142"/>
    </row>
    <row r="4" spans="1:17" ht="12.75">
      <c r="A4" s="145" t="s">
        <v>209</v>
      </c>
      <c r="B4" s="142"/>
      <c r="C4" s="142"/>
      <c r="D4" s="146" t="s">
        <v>190</v>
      </c>
      <c r="E4" s="142"/>
      <c r="F4" s="142"/>
      <c r="G4" s="142"/>
      <c r="H4" s="142"/>
      <c r="I4" s="142"/>
      <c r="K4" s="142"/>
      <c r="N4" s="142"/>
      <c r="O4" s="142"/>
      <c r="P4" s="142"/>
      <c r="Q4" s="142"/>
    </row>
    <row r="5" spans="2:17" ht="12.75">
      <c r="B5" s="142"/>
      <c r="C5" s="142"/>
      <c r="E5" s="142"/>
      <c r="F5" s="142"/>
      <c r="G5" s="142" t="s">
        <v>192</v>
      </c>
      <c r="H5" s="142"/>
      <c r="I5" s="142"/>
      <c r="K5" s="142"/>
      <c r="N5" s="142"/>
      <c r="O5" s="142"/>
      <c r="P5" s="142"/>
      <c r="Q5" s="142"/>
    </row>
    <row r="6" spans="2:17" ht="12.75">
      <c r="B6" s="142"/>
      <c r="C6" s="142"/>
      <c r="E6" s="142"/>
      <c r="F6" s="142"/>
      <c r="G6" s="142"/>
      <c r="H6" s="142" t="s">
        <v>191</v>
      </c>
      <c r="I6" s="142"/>
      <c r="K6" s="142"/>
      <c r="N6" s="142"/>
      <c r="O6" s="142"/>
      <c r="P6" s="142"/>
      <c r="Q6" s="142"/>
    </row>
    <row r="7" spans="2:18" ht="12.75">
      <c r="B7" s="142" t="s">
        <v>211</v>
      </c>
      <c r="C7" s="142" t="s">
        <v>211</v>
      </c>
      <c r="D7" s="146" t="s">
        <v>211</v>
      </c>
      <c r="E7" s="142"/>
      <c r="F7" s="142"/>
      <c r="G7" s="142" t="s">
        <v>211</v>
      </c>
      <c r="H7" s="142" t="s">
        <v>210</v>
      </c>
      <c r="I7" s="142" t="s">
        <v>193</v>
      </c>
      <c r="K7" s="142" t="s">
        <v>219</v>
      </c>
      <c r="N7" s="142" t="s">
        <v>196</v>
      </c>
      <c r="O7" s="142"/>
      <c r="P7" s="142"/>
      <c r="Q7" s="142"/>
      <c r="R7" s="144" t="s">
        <v>201</v>
      </c>
    </row>
    <row r="8" spans="2:17" ht="12.75">
      <c r="B8" s="142"/>
      <c r="C8" s="142"/>
      <c r="E8" s="142"/>
      <c r="F8" s="142"/>
      <c r="G8" s="142"/>
      <c r="H8" s="145" t="s">
        <v>212</v>
      </c>
      <c r="I8" s="142"/>
      <c r="K8" s="142" t="s">
        <v>194</v>
      </c>
      <c r="N8" s="142" t="s">
        <v>197</v>
      </c>
      <c r="O8" s="142"/>
      <c r="P8" s="142"/>
      <c r="Q8" s="142"/>
    </row>
    <row r="9" spans="2:17" ht="12.75">
      <c r="B9" s="142"/>
      <c r="C9" s="142"/>
      <c r="E9" s="142"/>
      <c r="F9" s="142"/>
      <c r="G9" s="142"/>
      <c r="H9" s="142"/>
      <c r="I9" s="142"/>
      <c r="K9" s="142"/>
      <c r="N9" s="142" t="s">
        <v>198</v>
      </c>
      <c r="O9" s="142"/>
      <c r="P9" s="142"/>
      <c r="Q9" s="142"/>
    </row>
    <row r="10" spans="2:17" ht="12.75">
      <c r="B10" s="142"/>
      <c r="C10" s="142"/>
      <c r="E10" s="142"/>
      <c r="F10" s="142"/>
      <c r="G10" s="142"/>
      <c r="H10" s="142"/>
      <c r="I10" s="142"/>
      <c r="K10" s="142"/>
      <c r="N10" s="142" t="s">
        <v>199</v>
      </c>
      <c r="O10" s="142"/>
      <c r="P10" s="142"/>
      <c r="Q10" s="142"/>
    </row>
    <row r="11" spans="2:18" ht="12.75">
      <c r="B11">
        <v>1</v>
      </c>
      <c r="C11">
        <v>2</v>
      </c>
      <c r="D11" s="146">
        <v>3</v>
      </c>
      <c r="E11" s="143">
        <v>4</v>
      </c>
      <c r="F11" s="143">
        <v>5</v>
      </c>
      <c r="G11">
        <v>6</v>
      </c>
      <c r="H11">
        <v>7</v>
      </c>
      <c r="I11">
        <v>8</v>
      </c>
      <c r="J11" s="146">
        <v>9</v>
      </c>
      <c r="K11">
        <v>10</v>
      </c>
      <c r="L11" s="143">
        <v>11</v>
      </c>
      <c r="M11" s="143">
        <v>12</v>
      </c>
      <c r="N11">
        <v>13</v>
      </c>
      <c r="O11">
        <v>14</v>
      </c>
      <c r="P11">
        <v>15</v>
      </c>
      <c r="Q11">
        <v>16</v>
      </c>
      <c r="R11" s="144">
        <v>17</v>
      </c>
    </row>
    <row r="12" ht="12.75">
      <c r="S12" t="s">
        <v>216</v>
      </c>
    </row>
    <row r="13" spans="2:20" ht="12.75">
      <c r="B13" t="s">
        <v>202</v>
      </c>
      <c r="T13" s="145" t="s">
        <v>217</v>
      </c>
    </row>
    <row r="14" spans="2:3" ht="12.75">
      <c r="B14" t="s">
        <v>203</v>
      </c>
      <c r="C14" t="s">
        <v>204</v>
      </c>
    </row>
    <row r="15" spans="4:20" ht="12.75">
      <c r="D15" s="146" t="s">
        <v>205</v>
      </c>
      <c r="T15" s="145" t="s">
        <v>218</v>
      </c>
    </row>
    <row r="16" ht="12.75">
      <c r="G16" t="s">
        <v>206</v>
      </c>
    </row>
    <row r="17" ht="12.75">
      <c r="H17" t="s">
        <v>206</v>
      </c>
    </row>
    <row r="18" ht="12.75">
      <c r="I18" t="s">
        <v>206</v>
      </c>
    </row>
    <row r="20" spans="8:15" ht="12.75">
      <c r="H20" t="s">
        <v>213</v>
      </c>
      <c r="O20" t="s">
        <v>213</v>
      </c>
    </row>
    <row r="21" spans="8:15" ht="12.75">
      <c r="H21" t="s">
        <v>215</v>
      </c>
      <c r="O21" t="s">
        <v>214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B41" sqref="B41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</cols>
  <sheetData>
    <row r="1" spans="1:2" ht="12.75">
      <c r="A1" s="181" t="s">
        <v>293</v>
      </c>
      <c r="B1" s="181"/>
    </row>
    <row r="3" spans="1:7" ht="12.75">
      <c r="A3" t="s">
        <v>283</v>
      </c>
      <c r="B3" s="97" t="s">
        <v>294</v>
      </c>
      <c r="C3" t="s">
        <v>285</v>
      </c>
      <c r="D3" t="s">
        <v>296</v>
      </c>
      <c r="E3" t="s">
        <v>295</v>
      </c>
      <c r="G3" t="s">
        <v>301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3" ht="12.75">
      <c r="A9">
        <v>6</v>
      </c>
      <c r="B9" s="41"/>
      <c r="C9" s="41"/>
    </row>
    <row r="10" spans="1:3" ht="12.75">
      <c r="A10">
        <v>8</v>
      </c>
      <c r="B10" s="41"/>
      <c r="C10" s="41"/>
    </row>
    <row r="11" spans="1:3" ht="12.75">
      <c r="A11">
        <v>9</v>
      </c>
      <c r="B11" s="41"/>
      <c r="C11" s="41"/>
    </row>
    <row r="12" spans="1:3" ht="12.75">
      <c r="A12">
        <v>10</v>
      </c>
      <c r="B12" s="41"/>
      <c r="C12" s="41">
        <v>200</v>
      </c>
    </row>
    <row r="13" spans="1:3" ht="12.75">
      <c r="A13">
        <v>11</v>
      </c>
      <c r="C13">
        <v>770</v>
      </c>
    </row>
    <row r="14" spans="1:3" ht="12.75">
      <c r="A14">
        <v>12</v>
      </c>
      <c r="C14">
        <v>0</v>
      </c>
    </row>
    <row r="15" spans="1:3" ht="12.75">
      <c r="A15">
        <v>13</v>
      </c>
      <c r="C15">
        <v>0</v>
      </c>
    </row>
    <row r="16" spans="1:4" ht="12.75">
      <c r="A16">
        <v>14</v>
      </c>
      <c r="B16">
        <v>3.04</v>
      </c>
      <c r="C16">
        <v>1080</v>
      </c>
      <c r="D16" s="185" t="s">
        <v>24</v>
      </c>
    </row>
    <row r="17" spans="1:4" ht="12.75">
      <c r="A17">
        <v>15</v>
      </c>
      <c r="C17">
        <v>0</v>
      </c>
      <c r="D17" s="185"/>
    </row>
    <row r="18" spans="1:5" ht="12.75">
      <c r="A18">
        <v>16</v>
      </c>
      <c r="B18">
        <v>18.04</v>
      </c>
      <c r="C18">
        <v>576</v>
      </c>
      <c r="D18" s="185" t="s">
        <v>24</v>
      </c>
      <c r="E18">
        <v>19.04</v>
      </c>
    </row>
    <row r="19" spans="1:4" ht="12.75">
      <c r="A19">
        <v>17</v>
      </c>
      <c r="C19">
        <v>0</v>
      </c>
      <c r="D19" s="185"/>
    </row>
    <row r="20" spans="1:4" ht="12.75">
      <c r="A20">
        <v>18</v>
      </c>
      <c r="C20">
        <v>0</v>
      </c>
      <c r="D20" s="185"/>
    </row>
    <row r="21" spans="1:5" ht="12.75">
      <c r="A21">
        <v>19</v>
      </c>
      <c r="B21">
        <v>9.05</v>
      </c>
      <c r="C21">
        <v>688</v>
      </c>
      <c r="D21" s="185" t="s">
        <v>24</v>
      </c>
      <c r="E21">
        <v>10.05</v>
      </c>
    </row>
    <row r="22" spans="1:4" ht="12.75">
      <c r="A22">
        <v>20</v>
      </c>
      <c r="B22">
        <v>16.05</v>
      </c>
      <c r="C22">
        <v>645</v>
      </c>
      <c r="D22" s="185" t="s">
        <v>24</v>
      </c>
    </row>
    <row r="23" spans="1:6" ht="12.75">
      <c r="A23">
        <v>21</v>
      </c>
      <c r="B23" s="15">
        <v>23.05</v>
      </c>
      <c r="C23" s="10">
        <v>898</v>
      </c>
      <c r="D23" s="185" t="s">
        <v>24</v>
      </c>
      <c r="E23">
        <v>23.05</v>
      </c>
      <c r="F23" s="10" t="s">
        <v>282</v>
      </c>
    </row>
    <row r="24" spans="1:6" ht="12.75">
      <c r="A24">
        <v>21</v>
      </c>
      <c r="B24">
        <v>26.05</v>
      </c>
      <c r="C24" s="10">
        <v>480</v>
      </c>
      <c r="D24" s="185" t="s">
        <v>24</v>
      </c>
      <c r="E24">
        <v>3.06</v>
      </c>
      <c r="F24" s="10" t="s">
        <v>282</v>
      </c>
    </row>
    <row r="25" spans="1:6" ht="12.75">
      <c r="A25">
        <v>23</v>
      </c>
      <c r="B25">
        <v>7.06</v>
      </c>
      <c r="C25" s="251">
        <v>700</v>
      </c>
      <c r="D25" s="185" t="s">
        <v>24</v>
      </c>
      <c r="E25">
        <v>8.06</v>
      </c>
      <c r="F25" s="193" t="s">
        <v>316</v>
      </c>
    </row>
    <row r="26" spans="1:9" ht="12.75">
      <c r="A26">
        <v>24</v>
      </c>
      <c r="B26">
        <v>12.06</v>
      </c>
      <c r="C26" s="251">
        <v>689</v>
      </c>
      <c r="D26" s="185" t="s">
        <v>24</v>
      </c>
      <c r="E26">
        <v>14.06</v>
      </c>
      <c r="F26" s="193" t="s">
        <v>346</v>
      </c>
      <c r="I26" s="222" t="s">
        <v>351</v>
      </c>
    </row>
    <row r="27" spans="1:9" ht="12.75">
      <c r="A27">
        <v>24</v>
      </c>
      <c r="B27">
        <v>16.06</v>
      </c>
      <c r="C27" s="251">
        <v>405</v>
      </c>
      <c r="D27" s="185" t="s">
        <v>24</v>
      </c>
      <c r="E27">
        <v>19.06</v>
      </c>
      <c r="F27" s="193" t="s">
        <v>346</v>
      </c>
      <c r="I27" s="222"/>
    </row>
    <row r="28" spans="1:9" ht="12.75">
      <c r="A28">
        <v>23</v>
      </c>
      <c r="B28" s="107" t="s">
        <v>324</v>
      </c>
      <c r="C28">
        <f>SUM(C12:C27)</f>
        <v>7131</v>
      </c>
      <c r="D28" s="185" t="s">
        <v>24</v>
      </c>
      <c r="G28" s="181">
        <f>C28/2</f>
        <v>3565.5</v>
      </c>
      <c r="I28" s="222">
        <f>SUM(C23:C26)</f>
        <v>2767</v>
      </c>
    </row>
    <row r="30" spans="1:7" ht="12.75">
      <c r="A30">
        <v>23</v>
      </c>
      <c r="B30" s="159" t="s">
        <v>288</v>
      </c>
      <c r="C30">
        <v>5326</v>
      </c>
      <c r="D30" s="185" t="s">
        <v>24</v>
      </c>
      <c r="E30" s="178" t="s">
        <v>287</v>
      </c>
      <c r="G30">
        <f>C30/2</f>
        <v>2663</v>
      </c>
    </row>
    <row r="32" spans="2:7" ht="12.75">
      <c r="B32" s="159" t="s">
        <v>298</v>
      </c>
      <c r="C32" s="159">
        <v>2019</v>
      </c>
      <c r="D32" s="185" t="s">
        <v>289</v>
      </c>
      <c r="G32">
        <f>C32/2</f>
        <v>1009.5</v>
      </c>
    </row>
    <row r="33" spans="1:7" ht="12.75">
      <c r="A33">
        <v>23</v>
      </c>
      <c r="B33" s="159" t="s">
        <v>288</v>
      </c>
      <c r="C33">
        <f>2019+1903+898+480+700+689+405</f>
        <v>7094</v>
      </c>
      <c r="D33" s="185" t="s">
        <v>289</v>
      </c>
      <c r="E33" s="10" t="s">
        <v>317</v>
      </c>
      <c r="G33" s="181">
        <f>C33/2</f>
        <v>3547</v>
      </c>
    </row>
    <row r="39" spans="1:2" ht="12.75">
      <c r="A39" t="s">
        <v>399</v>
      </c>
      <c r="B39" t="s">
        <v>400</v>
      </c>
    </row>
    <row r="40" ht="12.75">
      <c r="B40" t="s">
        <v>401</v>
      </c>
    </row>
    <row r="41" ht="12.75">
      <c r="B41" t="s">
        <v>402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workbookViewId="0" topLeftCell="A1">
      <pane xSplit="1" topLeftCell="H1" activePane="topRight" state="frozen"/>
      <selection pane="topLeft" activeCell="A1" sqref="A1"/>
      <selection pane="topRight" activeCell="R25" sqref="R25"/>
    </sheetView>
  </sheetViews>
  <sheetFormatPr defaultColWidth="9.140625" defaultRowHeight="12.75"/>
  <cols>
    <col min="1" max="1" width="45.7109375" style="41" customWidth="1"/>
    <col min="2" max="2" width="10.00390625" style="41" customWidth="1"/>
    <col min="3" max="4" width="11.7109375" style="41" customWidth="1"/>
    <col min="5" max="5" width="12.7109375" style="41" customWidth="1"/>
    <col min="6" max="6" width="9.8515625" style="41" customWidth="1"/>
    <col min="7" max="8" width="9.140625" style="41" customWidth="1"/>
    <col min="9" max="9" width="9.8515625" style="41" customWidth="1"/>
    <col min="10" max="10" width="11.140625" style="41" customWidth="1"/>
    <col min="11" max="20" width="9.140625" style="41" customWidth="1"/>
    <col min="22" max="16384" width="9.140625" style="41" customWidth="1"/>
  </cols>
  <sheetData>
    <row r="1" spans="1:20" ht="76.5">
      <c r="A1" s="33" t="s">
        <v>0</v>
      </c>
      <c r="B1" s="35" t="s">
        <v>39</v>
      </c>
      <c r="C1" s="35" t="s">
        <v>44</v>
      </c>
      <c r="D1" s="35" t="s">
        <v>43</v>
      </c>
      <c r="E1" s="165" t="s">
        <v>459</v>
      </c>
      <c r="F1" s="229" t="s">
        <v>456</v>
      </c>
      <c r="G1" s="266" t="s">
        <v>446</v>
      </c>
      <c r="H1" s="266" t="s">
        <v>448</v>
      </c>
      <c r="I1" s="266" t="s">
        <v>447</v>
      </c>
      <c r="J1" s="266" t="s">
        <v>449</v>
      </c>
      <c r="K1" s="266" t="s">
        <v>451</v>
      </c>
      <c r="L1" s="266" t="s">
        <v>460</v>
      </c>
      <c r="M1" s="35" t="s">
        <v>45</v>
      </c>
      <c r="N1" s="35" t="s">
        <v>42</v>
      </c>
      <c r="O1" s="37" t="s">
        <v>462</v>
      </c>
      <c r="P1" s="37" t="s">
        <v>477</v>
      </c>
      <c r="Q1" s="282" t="s">
        <v>467</v>
      </c>
      <c r="R1" s="282" t="s">
        <v>463</v>
      </c>
      <c r="S1" s="282" t="s">
        <v>471</v>
      </c>
      <c r="T1" s="41" t="s">
        <v>230</v>
      </c>
    </row>
    <row r="2" spans="1:16" ht="12.75">
      <c r="A2" s="41" t="s">
        <v>473</v>
      </c>
      <c r="B2" s="84"/>
      <c r="C2" s="84"/>
      <c r="D2" s="84"/>
      <c r="E2" s="220" t="s">
        <v>359</v>
      </c>
      <c r="F2" s="230"/>
      <c r="I2" s="41" t="s">
        <v>445</v>
      </c>
      <c r="K2" s="41" t="s">
        <v>455</v>
      </c>
      <c r="M2" s="85"/>
      <c r="O2" s="46"/>
      <c r="P2" s="46"/>
    </row>
    <row r="3" spans="1:16" ht="12.75">
      <c r="A3" s="283" t="s">
        <v>468</v>
      </c>
      <c r="B3" s="55"/>
      <c r="C3" s="55"/>
      <c r="D3" s="55"/>
      <c r="E3" s="52"/>
      <c r="F3" s="53"/>
      <c r="M3" s="85"/>
      <c r="O3" s="56"/>
      <c r="P3" s="56"/>
    </row>
    <row r="4" spans="1:16" ht="12.75">
      <c r="A4" s="58"/>
      <c r="B4" s="55"/>
      <c r="C4" s="45">
        <v>4100</v>
      </c>
      <c r="D4" s="45">
        <f>$C4*5/100</f>
        <v>205</v>
      </c>
      <c r="E4" s="51"/>
      <c r="F4" s="52"/>
      <c r="M4" s="86">
        <v>350</v>
      </c>
      <c r="N4" s="88">
        <f>$M4*10/100</f>
        <v>35</v>
      </c>
      <c r="O4" s="87"/>
      <c r="P4" s="87"/>
    </row>
    <row r="5" spans="1:20" ht="12.75">
      <c r="A5" s="62" t="s">
        <v>61</v>
      </c>
      <c r="B5" s="65"/>
      <c r="C5" s="65"/>
      <c r="D5" s="65"/>
      <c r="E5" s="70"/>
      <c r="F5" s="67"/>
      <c r="G5" s="178"/>
      <c r="H5" s="178"/>
      <c r="I5" s="178"/>
      <c r="J5" s="178"/>
      <c r="K5" s="178"/>
      <c r="L5" s="178"/>
      <c r="M5" s="65"/>
      <c r="N5" s="178"/>
      <c r="O5" s="67"/>
      <c r="P5" s="67"/>
      <c r="Q5" s="178"/>
      <c r="R5" s="178"/>
      <c r="S5" s="178"/>
      <c r="T5" s="178"/>
    </row>
    <row r="6" spans="1:19" ht="12.75">
      <c r="A6" s="74" t="s">
        <v>144</v>
      </c>
      <c r="B6" s="76">
        <v>1</v>
      </c>
      <c r="C6" s="45">
        <f>$C$4</f>
        <v>4100</v>
      </c>
      <c r="D6" s="45">
        <f>$C6*5/100</f>
        <v>205</v>
      </c>
      <c r="E6" s="249">
        <v>3773</v>
      </c>
      <c r="F6" s="91"/>
      <c r="G6" s="267">
        <f>SUM($E6,$F6)</f>
        <v>3773</v>
      </c>
      <c r="H6" s="267">
        <f>SUM($E6,$F6)/$B6</f>
        <v>3773</v>
      </c>
      <c r="I6" s="267">
        <f>$E6/$B6/360</f>
        <v>10.480555555555556</v>
      </c>
      <c r="J6" s="81" t="s">
        <v>443</v>
      </c>
      <c r="K6" s="81" t="s">
        <v>452</v>
      </c>
      <c r="L6" s="278">
        <f>$G6-4305*$B6</f>
        <v>-532</v>
      </c>
      <c r="M6" s="86"/>
      <c r="O6" s="46">
        <f>B6*(C6+D6+M6+N6)-G6</f>
        <v>532</v>
      </c>
      <c r="P6" s="46"/>
      <c r="Q6" s="41">
        <v>600</v>
      </c>
      <c r="R6" s="41" t="s">
        <v>91</v>
      </c>
      <c r="S6" s="273">
        <f>$Q6-$O6</f>
        <v>68</v>
      </c>
    </row>
    <row r="7" spans="1:19" ht="12.75">
      <c r="A7" s="99" t="s">
        <v>145</v>
      </c>
      <c r="B7" s="84">
        <v>1</v>
      </c>
      <c r="C7" s="84"/>
      <c r="D7" s="84"/>
      <c r="E7" s="264">
        <v>203</v>
      </c>
      <c r="F7" s="91"/>
      <c r="G7" s="287">
        <f aca="true" t="shared" si="0" ref="G7:G21">SUM($E7,$F7)</f>
        <v>203</v>
      </c>
      <c r="H7" s="268">
        <f aca="true" t="shared" si="1" ref="H7:H21">SUM($E7,$F7)/$B7</f>
        <v>203</v>
      </c>
      <c r="I7" s="268">
        <f aca="true" t="shared" si="2" ref="I7:I21">$E7/$B7/360</f>
        <v>0.5638888888888889</v>
      </c>
      <c r="M7" s="284">
        <v>350</v>
      </c>
      <c r="N7" s="285">
        <f>$M7*10/100</f>
        <v>35</v>
      </c>
      <c r="O7" s="87"/>
      <c r="P7" s="87"/>
      <c r="Q7" s="286" t="s">
        <v>230</v>
      </c>
      <c r="S7" s="286"/>
    </row>
    <row r="8" spans="1:20" ht="12.75">
      <c r="A8" s="81" t="s">
        <v>46</v>
      </c>
      <c r="B8" s="44">
        <v>1</v>
      </c>
      <c r="C8" s="45">
        <f>$C$4</f>
        <v>4100</v>
      </c>
      <c r="D8" s="45">
        <f>$C8*5/100</f>
        <v>205</v>
      </c>
      <c r="E8" s="264">
        <f>3818+207</f>
        <v>4025</v>
      </c>
      <c r="F8" s="91"/>
      <c r="G8" s="267">
        <f t="shared" si="0"/>
        <v>4025</v>
      </c>
      <c r="H8" s="267">
        <f t="shared" si="1"/>
        <v>4025</v>
      </c>
      <c r="I8" s="267">
        <f t="shared" si="2"/>
        <v>11.180555555555555</v>
      </c>
      <c r="J8" s="81" t="s">
        <v>450</v>
      </c>
      <c r="K8" s="81" t="s">
        <v>453</v>
      </c>
      <c r="L8" s="278">
        <f>$G8-4305*$B8</f>
        <v>-280</v>
      </c>
      <c r="M8" s="86">
        <v>350</v>
      </c>
      <c r="N8" s="88">
        <f>$M8*10/100</f>
        <v>35</v>
      </c>
      <c r="O8" s="87">
        <f aca="true" t="shared" si="3" ref="O8:O21">B8*(C8+D8+M8+N8)-G8</f>
        <v>665</v>
      </c>
      <c r="P8" s="87"/>
      <c r="Q8" s="41">
        <v>500</v>
      </c>
      <c r="R8" s="41" t="s">
        <v>91</v>
      </c>
      <c r="S8" s="268">
        <f aca="true" t="shared" si="4" ref="S8:S18">$Q8-$O8</f>
        <v>-165</v>
      </c>
      <c r="T8" s="287">
        <v>203</v>
      </c>
    </row>
    <row r="9" spans="1:19" ht="12.75">
      <c r="A9" s="74" t="s">
        <v>147</v>
      </c>
      <c r="B9" s="44">
        <v>2</v>
      </c>
      <c r="C9" s="45">
        <f>$C$4</f>
        <v>4100</v>
      </c>
      <c r="D9" s="45">
        <f>$C9*5/100</f>
        <v>205</v>
      </c>
      <c r="E9" s="264">
        <f>5284+2786</f>
        <v>8070</v>
      </c>
      <c r="F9" s="91"/>
      <c r="G9" s="267">
        <f t="shared" si="0"/>
        <v>8070</v>
      </c>
      <c r="H9" s="267">
        <f t="shared" si="1"/>
        <v>4035</v>
      </c>
      <c r="I9" s="267">
        <f t="shared" si="2"/>
        <v>11.208333333333334</v>
      </c>
      <c r="J9" s="81" t="s">
        <v>450</v>
      </c>
      <c r="K9" s="81" t="s">
        <v>453</v>
      </c>
      <c r="L9" s="278">
        <f>$G9-4305*$B9</f>
        <v>-540</v>
      </c>
      <c r="M9" s="85"/>
      <c r="O9" s="46">
        <f t="shared" si="3"/>
        <v>540</v>
      </c>
      <c r="P9" s="46"/>
      <c r="Q9" s="288">
        <v>0</v>
      </c>
      <c r="S9" s="268">
        <f t="shared" si="4"/>
        <v>-540</v>
      </c>
    </row>
    <row r="10" spans="1:19" ht="12.75">
      <c r="A10" s="99" t="s">
        <v>148</v>
      </c>
      <c r="B10" s="84">
        <v>1</v>
      </c>
      <c r="C10" s="84"/>
      <c r="D10" s="84"/>
      <c r="E10" s="82"/>
      <c r="F10" s="91"/>
      <c r="G10" s="268">
        <f t="shared" si="0"/>
        <v>0</v>
      </c>
      <c r="H10" s="268">
        <f t="shared" si="1"/>
        <v>0</v>
      </c>
      <c r="I10" s="268">
        <f t="shared" si="2"/>
        <v>0</v>
      </c>
      <c r="M10" s="86">
        <v>350</v>
      </c>
      <c r="N10" s="88">
        <f>$M10*10/100</f>
        <v>35</v>
      </c>
      <c r="O10" s="87">
        <f t="shared" si="3"/>
        <v>385</v>
      </c>
      <c r="P10" s="87"/>
      <c r="Q10" s="288">
        <v>0</v>
      </c>
      <c r="S10" s="243">
        <f t="shared" si="4"/>
        <v>-385</v>
      </c>
    </row>
    <row r="11" spans="1:19" ht="12.75">
      <c r="A11" s="81" t="s">
        <v>149</v>
      </c>
      <c r="B11" s="60">
        <v>61</v>
      </c>
      <c r="C11" s="45">
        <f>$C$4</f>
        <v>4100</v>
      </c>
      <c r="D11" s="45">
        <f>$C11*5/100</f>
        <v>205</v>
      </c>
      <c r="E11" s="264">
        <f>207000+3273</f>
        <v>210273</v>
      </c>
      <c r="F11" s="91"/>
      <c r="G11" s="267">
        <f t="shared" si="0"/>
        <v>210273</v>
      </c>
      <c r="H11" s="267">
        <f t="shared" si="1"/>
        <v>3447.098360655738</v>
      </c>
      <c r="I11" s="267">
        <f t="shared" si="2"/>
        <v>9.575273224043716</v>
      </c>
      <c r="J11" s="81" t="s">
        <v>443</v>
      </c>
      <c r="K11" s="81" t="s">
        <v>452</v>
      </c>
      <c r="L11" s="278">
        <f>$G11-4305*$B11</f>
        <v>-52332</v>
      </c>
      <c r="M11" s="85"/>
      <c r="O11" s="46">
        <f t="shared" si="3"/>
        <v>52332</v>
      </c>
      <c r="P11" s="46"/>
      <c r="Q11" s="288">
        <v>0</v>
      </c>
      <c r="S11" s="243">
        <f t="shared" si="4"/>
        <v>-52332</v>
      </c>
    </row>
    <row r="12" spans="1:19" ht="12.75">
      <c r="A12" s="82" t="s">
        <v>336</v>
      </c>
      <c r="B12" s="86">
        <v>2</v>
      </c>
      <c r="C12" s="86"/>
      <c r="D12" s="86"/>
      <c r="E12" s="88"/>
      <c r="F12" s="91"/>
      <c r="G12" s="268">
        <f t="shared" si="0"/>
        <v>0</v>
      </c>
      <c r="H12" s="268">
        <f t="shared" si="1"/>
        <v>0</v>
      </c>
      <c r="I12" s="268">
        <f t="shared" si="2"/>
        <v>0</v>
      </c>
      <c r="M12" s="86">
        <v>350</v>
      </c>
      <c r="N12" s="88">
        <f>$M12*10/100</f>
        <v>35</v>
      </c>
      <c r="O12" s="87">
        <f t="shared" si="3"/>
        <v>770</v>
      </c>
      <c r="P12" s="87"/>
      <c r="Q12" s="288">
        <v>0</v>
      </c>
      <c r="S12" s="243">
        <f t="shared" si="4"/>
        <v>-770</v>
      </c>
    </row>
    <row r="13" spans="1:20" ht="12.75">
      <c r="A13" s="74" t="s">
        <v>20</v>
      </c>
      <c r="B13" s="44">
        <v>183</v>
      </c>
      <c r="C13" s="45">
        <f>$C$4</f>
        <v>4100</v>
      </c>
      <c r="D13" s="45">
        <f>$C13*5/100</f>
        <v>205</v>
      </c>
      <c r="E13" s="264">
        <f>346854+154876</f>
        <v>501730</v>
      </c>
      <c r="F13" s="265">
        <f>25470+20000+27450+20360+8237+14916+19488</f>
        <v>135921</v>
      </c>
      <c r="G13" s="267">
        <f t="shared" si="0"/>
        <v>637651</v>
      </c>
      <c r="H13" s="267">
        <f t="shared" si="1"/>
        <v>3484.431693989071</v>
      </c>
      <c r="I13" s="271">
        <f t="shared" si="2"/>
        <v>7.615816636308439</v>
      </c>
      <c r="J13" s="81" t="s">
        <v>444</v>
      </c>
      <c r="K13" s="269" t="s">
        <v>454</v>
      </c>
      <c r="L13" s="278">
        <f>$G13-4305*$B13</f>
        <v>-150164</v>
      </c>
      <c r="M13" s="86"/>
      <c r="O13" s="46">
        <f t="shared" si="3"/>
        <v>150164</v>
      </c>
      <c r="P13" s="46"/>
      <c r="Q13" s="41">
        <v>103700</v>
      </c>
      <c r="R13" s="41" t="s">
        <v>91</v>
      </c>
      <c r="S13" s="243">
        <f t="shared" si="4"/>
        <v>-46464</v>
      </c>
      <c r="T13" s="175">
        <f>-(94000+103700-169652)</f>
        <v>-28048</v>
      </c>
    </row>
    <row r="14" spans="1:19" ht="12.75">
      <c r="A14" s="99" t="s">
        <v>150</v>
      </c>
      <c r="B14" s="84">
        <v>9</v>
      </c>
      <c r="C14" s="85"/>
      <c r="D14" s="85"/>
      <c r="E14" s="88"/>
      <c r="F14" s="91">
        <v>90</v>
      </c>
      <c r="G14" s="268">
        <f t="shared" si="0"/>
        <v>90</v>
      </c>
      <c r="H14" s="268">
        <f t="shared" si="1"/>
        <v>10</v>
      </c>
      <c r="I14" s="268">
        <f t="shared" si="2"/>
        <v>0</v>
      </c>
      <c r="M14" s="86">
        <v>350</v>
      </c>
      <c r="N14" s="88">
        <f>$M14*10/100</f>
        <v>35</v>
      </c>
      <c r="O14" s="87">
        <f t="shared" si="3"/>
        <v>3375</v>
      </c>
      <c r="P14" s="87"/>
      <c r="Q14" s="288">
        <v>0</v>
      </c>
      <c r="S14" s="243">
        <f t="shared" si="4"/>
        <v>-3375</v>
      </c>
    </row>
    <row r="15" spans="1:19" ht="12.75">
      <c r="A15" s="99" t="s">
        <v>151</v>
      </c>
      <c r="B15" s="84">
        <v>3</v>
      </c>
      <c r="C15" s="86"/>
      <c r="D15" s="84"/>
      <c r="E15" s="88"/>
      <c r="F15" s="91"/>
      <c r="G15" s="268">
        <f t="shared" si="0"/>
        <v>0</v>
      </c>
      <c r="H15" s="268">
        <f t="shared" si="1"/>
        <v>0</v>
      </c>
      <c r="I15" s="268">
        <f t="shared" si="2"/>
        <v>0</v>
      </c>
      <c r="M15" s="86" t="s">
        <v>230</v>
      </c>
      <c r="O15" s="46" t="e">
        <f t="shared" si="3"/>
        <v>#VALUE!</v>
      </c>
      <c r="P15" s="46"/>
      <c r="Q15" s="288">
        <v>0</v>
      </c>
      <c r="S15" s="243" t="e">
        <f t="shared" si="4"/>
        <v>#VALUE!</v>
      </c>
    </row>
    <row r="16" spans="1:19" ht="12.75">
      <c r="A16" s="74" t="s">
        <v>21</v>
      </c>
      <c r="B16" s="44">
        <v>6</v>
      </c>
      <c r="C16" s="45">
        <f>$C$4</f>
        <v>4100</v>
      </c>
      <c r="D16" s="45">
        <f>$C16*5/100</f>
        <v>205</v>
      </c>
      <c r="E16" s="264">
        <f>10604+13190</f>
        <v>23794</v>
      </c>
      <c r="F16" s="265">
        <v>2400</v>
      </c>
      <c r="G16" s="267">
        <f t="shared" si="0"/>
        <v>26194</v>
      </c>
      <c r="H16" s="270">
        <f t="shared" si="1"/>
        <v>4365.666666666667</v>
      </c>
      <c r="I16" s="271">
        <f>$E16/$B16/360</f>
        <v>11.01574074074074</v>
      </c>
      <c r="J16" s="81"/>
      <c r="K16" s="272"/>
      <c r="L16" s="278"/>
      <c r="M16" s="86"/>
      <c r="O16" s="279">
        <f t="shared" si="3"/>
        <v>-364</v>
      </c>
      <c r="P16" s="279"/>
      <c r="Q16" s="41">
        <v>3400</v>
      </c>
      <c r="R16" s="41" t="s">
        <v>91</v>
      </c>
      <c r="S16" s="273">
        <f t="shared" si="4"/>
        <v>3764</v>
      </c>
    </row>
    <row r="17" spans="1:19" ht="12.75">
      <c r="A17" s="74" t="s">
        <v>68</v>
      </c>
      <c r="B17" s="44">
        <v>1</v>
      </c>
      <c r="C17" s="45">
        <f>$C$4</f>
        <v>4100</v>
      </c>
      <c r="D17" s="45">
        <f>$C17*5/100</f>
        <v>205</v>
      </c>
      <c r="E17" s="249">
        <v>4429</v>
      </c>
      <c r="F17" s="91"/>
      <c r="G17" s="267">
        <f t="shared" si="0"/>
        <v>4429</v>
      </c>
      <c r="H17" s="273">
        <f t="shared" si="1"/>
        <v>4429</v>
      </c>
      <c r="I17" s="267"/>
      <c r="J17" s="81"/>
      <c r="K17" s="272"/>
      <c r="M17" s="86">
        <v>350</v>
      </c>
      <c r="N17" s="88">
        <f>$M17*10/100</f>
        <v>35</v>
      </c>
      <c r="O17" s="87">
        <f t="shared" si="3"/>
        <v>261</v>
      </c>
      <c r="P17" s="87"/>
      <c r="Q17" s="41">
        <v>650</v>
      </c>
      <c r="R17" s="41" t="s">
        <v>91</v>
      </c>
      <c r="S17" s="273">
        <f t="shared" si="4"/>
        <v>389</v>
      </c>
    </row>
    <row r="18" spans="1:19" ht="12.75">
      <c r="A18" s="74" t="s">
        <v>69</v>
      </c>
      <c r="B18" s="44">
        <v>1</v>
      </c>
      <c r="C18" s="45">
        <f>$C$4</f>
        <v>4100</v>
      </c>
      <c r="D18" s="45">
        <f>$C18*5/100</f>
        <v>205</v>
      </c>
      <c r="E18" s="249">
        <v>3590</v>
      </c>
      <c r="F18" s="91"/>
      <c r="G18" s="267">
        <f t="shared" si="0"/>
        <v>3590</v>
      </c>
      <c r="H18" s="267">
        <f t="shared" si="1"/>
        <v>3590</v>
      </c>
      <c r="I18" s="267">
        <f t="shared" si="2"/>
        <v>9.972222222222221</v>
      </c>
      <c r="J18" s="81" t="s">
        <v>443</v>
      </c>
      <c r="K18" s="81" t="s">
        <v>452</v>
      </c>
      <c r="L18" s="278">
        <f>$G18-4305*$B18</f>
        <v>-715</v>
      </c>
      <c r="M18" s="86"/>
      <c r="O18" s="46">
        <f t="shared" si="3"/>
        <v>715</v>
      </c>
      <c r="P18" s="46"/>
      <c r="Q18" s="41">
        <v>800</v>
      </c>
      <c r="R18" s="41" t="s">
        <v>91</v>
      </c>
      <c r="S18" s="273">
        <f t="shared" si="4"/>
        <v>85</v>
      </c>
    </row>
    <row r="19" spans="1:20" ht="12.75">
      <c r="A19" s="101" t="s">
        <v>22</v>
      </c>
      <c r="B19" s="65"/>
      <c r="C19" s="65"/>
      <c r="D19" s="102"/>
      <c r="E19" s="70"/>
      <c r="F19" s="67"/>
      <c r="G19" s="178"/>
      <c r="H19" s="178"/>
      <c r="I19" s="178"/>
      <c r="J19" s="178"/>
      <c r="K19" s="178"/>
      <c r="L19" s="178"/>
      <c r="M19" s="65"/>
      <c r="N19" s="178"/>
      <c r="O19" s="67"/>
      <c r="P19" s="67"/>
      <c r="Q19" s="178"/>
      <c r="R19" s="178"/>
      <c r="S19" s="178"/>
      <c r="T19" s="178"/>
    </row>
    <row r="20" spans="1:19" ht="12.75">
      <c r="A20" s="74" t="s">
        <v>77</v>
      </c>
      <c r="B20" s="44">
        <v>4</v>
      </c>
      <c r="C20" s="45">
        <f>$C$4</f>
        <v>4100</v>
      </c>
      <c r="D20" s="262">
        <v>410</v>
      </c>
      <c r="E20" s="256">
        <v>14497</v>
      </c>
      <c r="F20" s="91"/>
      <c r="G20" s="267">
        <f t="shared" si="0"/>
        <v>14497</v>
      </c>
      <c r="H20" s="267">
        <f t="shared" si="1"/>
        <v>3624.25</v>
      </c>
      <c r="I20" s="267">
        <f t="shared" si="2"/>
        <v>10.067361111111111</v>
      </c>
      <c r="J20" s="81" t="s">
        <v>443</v>
      </c>
      <c r="K20" s="81" t="s">
        <v>452</v>
      </c>
      <c r="L20" s="280">
        <f>$G20-4305*$B20</f>
        <v>-2723</v>
      </c>
      <c r="M20" s="86">
        <v>0</v>
      </c>
      <c r="N20" s="41">
        <v>0</v>
      </c>
      <c r="O20" s="281">
        <f>$B20*($C20+$D20+$M20+$N20)-$G20</f>
        <v>3543</v>
      </c>
      <c r="P20" s="281"/>
      <c r="Q20" s="41">
        <v>3600</v>
      </c>
      <c r="R20" s="41" t="s">
        <v>91</v>
      </c>
      <c r="S20" s="273">
        <f>$Q20-$O20</f>
        <v>57</v>
      </c>
    </row>
    <row r="21" spans="1:19" ht="12.75">
      <c r="A21" s="74" t="s">
        <v>78</v>
      </c>
      <c r="B21" s="44">
        <v>2</v>
      </c>
      <c r="C21" s="45">
        <f>$C$4</f>
        <v>4100</v>
      </c>
      <c r="D21" s="262">
        <v>410</v>
      </c>
      <c r="E21" s="256">
        <v>7207</v>
      </c>
      <c r="F21" s="91"/>
      <c r="G21" s="267">
        <f t="shared" si="0"/>
        <v>7207</v>
      </c>
      <c r="H21" s="267">
        <f t="shared" si="1"/>
        <v>3603.5</v>
      </c>
      <c r="I21" s="267">
        <f t="shared" si="2"/>
        <v>10.009722222222223</v>
      </c>
      <c r="J21" s="81" t="s">
        <v>443</v>
      </c>
      <c r="K21" s="81" t="s">
        <v>452</v>
      </c>
      <c r="L21" s="280">
        <f>$G21-4305*$B21</f>
        <v>-1403</v>
      </c>
      <c r="M21" s="86"/>
      <c r="O21" s="281">
        <f t="shared" si="3"/>
        <v>1813</v>
      </c>
      <c r="P21" s="281"/>
      <c r="Q21" s="41">
        <v>2200</v>
      </c>
      <c r="R21" s="41" t="s">
        <v>91</v>
      </c>
      <c r="S21" s="273">
        <f>$Q21-$O21</f>
        <v>387</v>
      </c>
    </row>
    <row r="22" spans="1:20" ht="12.75">
      <c r="A22" s="101" t="s">
        <v>15</v>
      </c>
      <c r="B22" s="65"/>
      <c r="C22" s="65"/>
      <c r="D22" s="66"/>
      <c r="E22" s="70"/>
      <c r="F22" s="67"/>
      <c r="G22" s="178"/>
      <c r="H22" s="178"/>
      <c r="I22" s="178"/>
      <c r="J22" s="178"/>
      <c r="K22" s="178"/>
      <c r="L22" s="178"/>
      <c r="M22" s="66"/>
      <c r="N22" s="178"/>
      <c r="O22" s="178"/>
      <c r="P22" s="178"/>
      <c r="Q22" s="178"/>
      <c r="R22" s="178"/>
      <c r="S22" s="178"/>
      <c r="T22" s="178"/>
    </row>
    <row r="23" spans="1:19" ht="12.75">
      <c r="A23" s="74" t="s">
        <v>48</v>
      </c>
      <c r="B23" s="44">
        <v>1</v>
      </c>
      <c r="C23" s="45">
        <f aca="true" t="shared" si="5" ref="C23:C28">$C$4</f>
        <v>4100</v>
      </c>
      <c r="D23" s="45">
        <f aca="true" t="shared" si="6" ref="D23:D28">$C23*5/100</f>
        <v>205</v>
      </c>
      <c r="E23" s="249">
        <v>3780</v>
      </c>
      <c r="F23" s="265">
        <v>600</v>
      </c>
      <c r="G23" s="267">
        <f aca="true" t="shared" si="7" ref="G23:G28">SUM($E23,$F23)</f>
        <v>4380</v>
      </c>
      <c r="H23" s="267">
        <f aca="true" t="shared" si="8" ref="H23:H28">SUM($E23,$F23)/$B23</f>
        <v>4380</v>
      </c>
      <c r="I23" s="267">
        <f aca="true" t="shared" si="9" ref="I23:I28">$E23/$B23/360</f>
        <v>10.5</v>
      </c>
      <c r="J23" s="81" t="s">
        <v>450</v>
      </c>
      <c r="K23" s="81" t="s">
        <v>453</v>
      </c>
      <c r="L23" s="278">
        <f>$G23-4305*$B23</f>
        <v>75</v>
      </c>
      <c r="M23" s="86"/>
      <c r="O23" s="46">
        <f aca="true" t="shared" si="10" ref="O23:O28">B23*(C23+D23+M23+N23)-G23</f>
        <v>-75</v>
      </c>
      <c r="P23" s="46"/>
      <c r="Q23" s="272">
        <v>600</v>
      </c>
      <c r="R23" s="41" t="s">
        <v>464</v>
      </c>
      <c r="S23" s="273">
        <f aca="true" t="shared" si="11" ref="S23:S28">$Q23-$O23</f>
        <v>675</v>
      </c>
    </row>
    <row r="24" spans="1:19" ht="12.75">
      <c r="A24" s="74" t="s">
        <v>50</v>
      </c>
      <c r="B24" s="76">
        <v>2</v>
      </c>
      <c r="C24" s="45">
        <f t="shared" si="5"/>
        <v>4100</v>
      </c>
      <c r="D24" s="45">
        <f t="shared" si="6"/>
        <v>205</v>
      </c>
      <c r="E24" s="249">
        <v>8128</v>
      </c>
      <c r="F24" s="91"/>
      <c r="G24" s="267">
        <f t="shared" si="7"/>
        <v>8128</v>
      </c>
      <c r="H24" s="267">
        <f t="shared" si="8"/>
        <v>4064</v>
      </c>
      <c r="I24" s="267">
        <f t="shared" si="9"/>
        <v>11.28888888888889</v>
      </c>
      <c r="J24" s="81" t="s">
        <v>450</v>
      </c>
      <c r="K24" s="81" t="s">
        <v>453</v>
      </c>
      <c r="L24" s="278">
        <f>$G24-4305*$B24</f>
        <v>-482</v>
      </c>
      <c r="M24" s="86"/>
      <c r="O24" s="46">
        <f t="shared" si="10"/>
        <v>482</v>
      </c>
      <c r="P24" s="46">
        <v>86</v>
      </c>
      <c r="Q24" s="41">
        <v>420</v>
      </c>
      <c r="R24" s="41" t="s">
        <v>91</v>
      </c>
      <c r="S24" s="243">
        <f t="shared" si="11"/>
        <v>-62</v>
      </c>
    </row>
    <row r="25" spans="1:19" ht="12.75">
      <c r="A25" s="74" t="s">
        <v>51</v>
      </c>
      <c r="B25" s="44">
        <v>2</v>
      </c>
      <c r="C25" s="45">
        <f t="shared" si="5"/>
        <v>4100</v>
      </c>
      <c r="D25" s="45">
        <f t="shared" si="6"/>
        <v>205</v>
      </c>
      <c r="E25" s="264">
        <f>8300+1000</f>
        <v>9300</v>
      </c>
      <c r="F25" s="91"/>
      <c r="G25" s="267">
        <f t="shared" si="7"/>
        <v>9300</v>
      </c>
      <c r="H25" s="273">
        <f t="shared" si="8"/>
        <v>4650</v>
      </c>
      <c r="I25" s="267">
        <f t="shared" si="9"/>
        <v>12.916666666666666</v>
      </c>
      <c r="J25" s="81"/>
      <c r="K25" s="272"/>
      <c r="M25" s="86">
        <v>350</v>
      </c>
      <c r="N25" s="88">
        <f>$M25*10/100</f>
        <v>35</v>
      </c>
      <c r="O25" s="87">
        <f t="shared" si="10"/>
        <v>80</v>
      </c>
      <c r="P25" s="87"/>
      <c r="Q25" s="41">
        <v>0</v>
      </c>
      <c r="S25" s="243">
        <f t="shared" si="11"/>
        <v>-80</v>
      </c>
    </row>
    <row r="26" spans="1:19" ht="12.75">
      <c r="A26" s="107" t="s">
        <v>97</v>
      </c>
      <c r="B26" s="44">
        <v>4</v>
      </c>
      <c r="C26" s="45">
        <f t="shared" si="5"/>
        <v>4100</v>
      </c>
      <c r="D26" s="45">
        <f>$C26*30/100</f>
        <v>1230</v>
      </c>
      <c r="E26" s="249">
        <v>16400</v>
      </c>
      <c r="F26" s="265">
        <v>3000</v>
      </c>
      <c r="G26" s="267">
        <f t="shared" si="7"/>
        <v>19400</v>
      </c>
      <c r="H26" s="273">
        <f t="shared" si="8"/>
        <v>4850</v>
      </c>
      <c r="I26" s="267">
        <f t="shared" si="9"/>
        <v>11.38888888888889</v>
      </c>
      <c r="J26" s="81" t="s">
        <v>450</v>
      </c>
      <c r="K26" s="81" t="s">
        <v>453</v>
      </c>
      <c r="L26" s="278">
        <f>$G26-4305*$B26</f>
        <v>2180</v>
      </c>
      <c r="M26" s="86">
        <v>350</v>
      </c>
      <c r="N26" s="88">
        <f>$M26*30/100</f>
        <v>105</v>
      </c>
      <c r="O26" s="87">
        <f>B26*(C26+D26+M26+N26)-G26</f>
        <v>3740</v>
      </c>
      <c r="P26" s="87"/>
      <c r="Q26" s="272">
        <v>3000</v>
      </c>
      <c r="R26" s="41" t="s">
        <v>24</v>
      </c>
      <c r="S26" s="243">
        <f t="shared" si="11"/>
        <v>-740</v>
      </c>
    </row>
    <row r="27" spans="1:19" ht="12.75">
      <c r="A27" s="74" t="s">
        <v>55</v>
      </c>
      <c r="B27" s="44">
        <v>18</v>
      </c>
      <c r="C27" s="45">
        <f t="shared" si="5"/>
        <v>4100</v>
      </c>
      <c r="D27" s="45">
        <f t="shared" si="6"/>
        <v>205</v>
      </c>
      <c r="E27" s="249">
        <v>73100</v>
      </c>
      <c r="F27" s="265">
        <v>11300</v>
      </c>
      <c r="G27" s="267">
        <f t="shared" si="7"/>
        <v>84400</v>
      </c>
      <c r="H27" s="273">
        <f t="shared" si="8"/>
        <v>4688.888888888889</v>
      </c>
      <c r="I27" s="267">
        <f t="shared" si="9"/>
        <v>11.280864197530864</v>
      </c>
      <c r="J27" s="81" t="s">
        <v>450</v>
      </c>
      <c r="K27" s="81" t="s">
        <v>453</v>
      </c>
      <c r="L27" s="278">
        <f>$G27-4305*$B27</f>
        <v>6910</v>
      </c>
      <c r="M27" s="86">
        <v>350</v>
      </c>
      <c r="N27" s="88">
        <f>$M27*10/100</f>
        <v>35</v>
      </c>
      <c r="O27" s="87">
        <f t="shared" si="10"/>
        <v>20</v>
      </c>
      <c r="P27" s="87"/>
      <c r="Q27" s="272">
        <v>11300</v>
      </c>
      <c r="R27" s="41" t="s">
        <v>24</v>
      </c>
      <c r="S27" s="243">
        <f t="shared" si="11"/>
        <v>11280</v>
      </c>
    </row>
    <row r="28" spans="1:19" ht="12.75">
      <c r="A28" s="109" t="s">
        <v>37</v>
      </c>
      <c r="B28" s="44">
        <v>6</v>
      </c>
      <c r="C28" s="45">
        <f t="shared" si="5"/>
        <v>4100</v>
      </c>
      <c r="D28" s="45">
        <f t="shared" si="6"/>
        <v>205</v>
      </c>
      <c r="E28" s="264">
        <f>45600+2000</f>
        <v>47600</v>
      </c>
      <c r="F28" s="91"/>
      <c r="G28" s="267">
        <f t="shared" si="7"/>
        <v>47600</v>
      </c>
      <c r="H28" s="274">
        <f t="shared" si="8"/>
        <v>7933.333333333333</v>
      </c>
      <c r="I28" s="267">
        <f t="shared" si="9"/>
        <v>22.037037037037035</v>
      </c>
      <c r="J28" s="82"/>
      <c r="M28" s="86">
        <v>350</v>
      </c>
      <c r="N28" s="88">
        <f>$M28*10/100</f>
        <v>35</v>
      </c>
      <c r="O28" s="87">
        <f t="shared" si="10"/>
        <v>-19460</v>
      </c>
      <c r="P28" s="87"/>
      <c r="S28" s="243">
        <f t="shared" si="11"/>
        <v>19460</v>
      </c>
    </row>
    <row r="29" spans="1:20" ht="12.75">
      <c r="A29" s="101" t="s">
        <v>25</v>
      </c>
      <c r="B29" s="116"/>
      <c r="C29" s="116"/>
      <c r="D29" s="117"/>
      <c r="E29" s="122"/>
      <c r="F29" s="121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</row>
    <row r="30" spans="1:19" ht="12.75">
      <c r="A30" s="109" t="s">
        <v>85</v>
      </c>
      <c r="B30" s="110">
        <v>1</v>
      </c>
      <c r="C30" s="45">
        <f aca="true" t="shared" si="12" ref="C30:C44">$C$4</f>
        <v>4100</v>
      </c>
      <c r="D30" s="45">
        <f aca="true" t="shared" si="13" ref="D30:D44">$C30*5/100</f>
        <v>205</v>
      </c>
      <c r="E30" s="249">
        <v>4080</v>
      </c>
      <c r="F30" s="91"/>
      <c r="G30" s="267">
        <f aca="true" t="shared" si="14" ref="G30:G44">SUM($E30,$F30)</f>
        <v>4080</v>
      </c>
      <c r="H30" s="267">
        <f aca="true" t="shared" si="15" ref="H30:H44">SUM($E30,$F30)/$B30</f>
        <v>4080</v>
      </c>
      <c r="I30" s="267">
        <f aca="true" t="shared" si="16" ref="I30:I44">$E30/$B30/360</f>
        <v>11.333333333333334</v>
      </c>
      <c r="J30" s="81" t="s">
        <v>450</v>
      </c>
      <c r="K30" s="81" t="s">
        <v>453</v>
      </c>
      <c r="L30" s="278">
        <f>$G30-4305*$B30</f>
        <v>-225</v>
      </c>
      <c r="M30" s="41">
        <v>350</v>
      </c>
      <c r="N30" s="88">
        <f aca="true" t="shared" si="17" ref="N30:N44">$M30*10/100</f>
        <v>35</v>
      </c>
      <c r="O30" s="87">
        <f aca="true" t="shared" si="18" ref="O30:O44">B30*(C30+D30+M30+N30)-G30</f>
        <v>610</v>
      </c>
      <c r="P30" s="87"/>
      <c r="Q30" s="41">
        <v>600</v>
      </c>
      <c r="R30" s="41" t="s">
        <v>91</v>
      </c>
      <c r="S30" s="243">
        <f>$Q30-$O30</f>
        <v>-10</v>
      </c>
    </row>
    <row r="31" spans="1:19" ht="12.75">
      <c r="A31" s="109" t="s">
        <v>86</v>
      </c>
      <c r="B31" s="110">
        <v>1</v>
      </c>
      <c r="C31" s="45">
        <f t="shared" si="12"/>
        <v>4100</v>
      </c>
      <c r="D31" s="45">
        <f t="shared" si="13"/>
        <v>205</v>
      </c>
      <c r="E31" s="264">
        <f>4080+14</f>
        <v>4094</v>
      </c>
      <c r="F31" s="91"/>
      <c r="G31" s="267">
        <f t="shared" si="14"/>
        <v>4094</v>
      </c>
      <c r="H31" s="267">
        <f t="shared" si="15"/>
        <v>4094</v>
      </c>
      <c r="I31" s="267">
        <f t="shared" si="16"/>
        <v>11.372222222222222</v>
      </c>
      <c r="J31" s="81" t="s">
        <v>450</v>
      </c>
      <c r="K31" s="81" t="s">
        <v>453</v>
      </c>
      <c r="L31" s="278">
        <f>$G31-4305*$B31</f>
        <v>-211</v>
      </c>
      <c r="M31" s="41">
        <v>350</v>
      </c>
      <c r="N31" s="88">
        <f t="shared" si="17"/>
        <v>35</v>
      </c>
      <c r="O31" s="87">
        <f t="shared" si="18"/>
        <v>596</v>
      </c>
      <c r="P31" s="87"/>
      <c r="Q31" s="41">
        <v>650</v>
      </c>
      <c r="R31" s="41" t="s">
        <v>91</v>
      </c>
      <c r="S31" s="273">
        <f aca="true" t="shared" si="19" ref="S31:S44">$Q31-$O31</f>
        <v>54</v>
      </c>
    </row>
    <row r="32" spans="1:19" ht="12.75">
      <c r="A32" s="109" t="s">
        <v>34</v>
      </c>
      <c r="B32" s="110">
        <v>3</v>
      </c>
      <c r="C32" s="45">
        <f t="shared" si="12"/>
        <v>4100</v>
      </c>
      <c r="D32" s="45">
        <f t="shared" si="13"/>
        <v>205</v>
      </c>
      <c r="E32" s="264">
        <f>11432+70</f>
        <v>11502</v>
      </c>
      <c r="F32" s="91"/>
      <c r="G32" s="267">
        <f t="shared" si="14"/>
        <v>11502</v>
      </c>
      <c r="H32" s="267">
        <f t="shared" si="15"/>
        <v>3834</v>
      </c>
      <c r="I32" s="267">
        <f t="shared" si="16"/>
        <v>10.65</v>
      </c>
      <c r="J32" s="81" t="s">
        <v>450</v>
      </c>
      <c r="K32" s="81" t="s">
        <v>453</v>
      </c>
      <c r="L32" s="278">
        <f>$G32-4305*$B32</f>
        <v>-1413</v>
      </c>
      <c r="M32" s="41">
        <v>350</v>
      </c>
      <c r="N32" s="88">
        <f t="shared" si="17"/>
        <v>35</v>
      </c>
      <c r="O32" s="87">
        <f t="shared" si="18"/>
        <v>2568</v>
      </c>
      <c r="P32" s="87"/>
      <c r="Q32" s="41" t="s">
        <v>474</v>
      </c>
      <c r="R32" s="41" t="s">
        <v>91</v>
      </c>
      <c r="S32" s="243"/>
    </row>
    <row r="33" spans="1:19" ht="12.75">
      <c r="A33" s="109" t="s">
        <v>36</v>
      </c>
      <c r="B33" s="110">
        <v>3</v>
      </c>
      <c r="C33" s="45">
        <f t="shared" si="12"/>
        <v>4100</v>
      </c>
      <c r="D33" s="45">
        <f t="shared" si="13"/>
        <v>205</v>
      </c>
      <c r="E33" s="264">
        <f>9530+1910</f>
        <v>11440</v>
      </c>
      <c r="F33" s="91"/>
      <c r="G33" s="267">
        <f t="shared" si="14"/>
        <v>11440</v>
      </c>
      <c r="H33" s="267">
        <f t="shared" si="15"/>
        <v>3813.3333333333335</v>
      </c>
      <c r="I33" s="267">
        <f t="shared" si="16"/>
        <v>10.592592592592593</v>
      </c>
      <c r="J33" s="81" t="s">
        <v>450</v>
      </c>
      <c r="K33" s="81" t="s">
        <v>453</v>
      </c>
      <c r="L33" s="278">
        <f>$G33-4305*$B33</f>
        <v>-1475</v>
      </c>
      <c r="M33" s="41">
        <v>350</v>
      </c>
      <c r="N33" s="88">
        <f t="shared" si="17"/>
        <v>35</v>
      </c>
      <c r="O33" s="87">
        <f t="shared" si="18"/>
        <v>2630</v>
      </c>
      <c r="P33" s="87"/>
      <c r="Q33" s="41" t="s">
        <v>475</v>
      </c>
      <c r="R33" s="41" t="s">
        <v>91</v>
      </c>
      <c r="S33" s="243"/>
    </row>
    <row r="34" spans="1:19" ht="12.75">
      <c r="A34" s="109" t="s">
        <v>37</v>
      </c>
      <c r="B34" s="110">
        <v>6</v>
      </c>
      <c r="C34" s="45">
        <f t="shared" si="12"/>
        <v>4100</v>
      </c>
      <c r="D34" s="45">
        <f t="shared" si="13"/>
        <v>205</v>
      </c>
      <c r="E34" s="264">
        <f>24000+2000</f>
        <v>26000</v>
      </c>
      <c r="F34" s="91"/>
      <c r="G34" s="267">
        <f t="shared" si="14"/>
        <v>26000</v>
      </c>
      <c r="H34" s="267">
        <f t="shared" si="15"/>
        <v>4333.333333333333</v>
      </c>
      <c r="I34" s="267">
        <f t="shared" si="16"/>
        <v>12.037037037037036</v>
      </c>
      <c r="M34" s="41">
        <v>350</v>
      </c>
      <c r="N34" s="88">
        <f t="shared" si="17"/>
        <v>35</v>
      </c>
      <c r="O34" s="87">
        <f t="shared" si="18"/>
        <v>2140</v>
      </c>
      <c r="P34" s="87"/>
      <c r="Q34" s="288"/>
      <c r="S34" s="243">
        <f>$Q34-$O34</f>
        <v>-2140</v>
      </c>
    </row>
    <row r="35" spans="1:19" ht="12.75">
      <c r="A35" s="109" t="s">
        <v>38</v>
      </c>
      <c r="B35" s="110">
        <v>3</v>
      </c>
      <c r="C35" s="45">
        <f t="shared" si="12"/>
        <v>4100</v>
      </c>
      <c r="D35" s="45">
        <f t="shared" si="13"/>
        <v>205</v>
      </c>
      <c r="E35" s="249">
        <v>24400</v>
      </c>
      <c r="F35" s="91"/>
      <c r="G35" s="267">
        <f t="shared" si="14"/>
        <v>24400</v>
      </c>
      <c r="H35" s="267">
        <f t="shared" si="15"/>
        <v>8133.333333333333</v>
      </c>
      <c r="I35" s="267">
        <f t="shared" si="16"/>
        <v>22.59259259259259</v>
      </c>
      <c r="M35" s="41">
        <v>350</v>
      </c>
      <c r="N35" s="88">
        <f t="shared" si="17"/>
        <v>35</v>
      </c>
      <c r="O35" s="87">
        <f t="shared" si="18"/>
        <v>-10330</v>
      </c>
      <c r="P35" s="87"/>
      <c r="Q35" s="288"/>
      <c r="S35" s="243">
        <f>$Q35-$O35</f>
        <v>10330</v>
      </c>
    </row>
    <row r="36" spans="1:19" ht="12.75">
      <c r="A36" s="109" t="s">
        <v>40</v>
      </c>
      <c r="B36" s="110">
        <v>2</v>
      </c>
      <c r="C36" s="45">
        <f t="shared" si="12"/>
        <v>4100</v>
      </c>
      <c r="D36" s="45">
        <f t="shared" si="13"/>
        <v>205</v>
      </c>
      <c r="E36" s="258">
        <f>4200+2000</f>
        <v>6200</v>
      </c>
      <c r="F36" s="91"/>
      <c r="G36" s="267">
        <f t="shared" si="14"/>
        <v>6200</v>
      </c>
      <c r="H36" s="267">
        <f t="shared" si="15"/>
        <v>3100</v>
      </c>
      <c r="I36" s="267">
        <f t="shared" si="16"/>
        <v>8.61111111111111</v>
      </c>
      <c r="M36" s="41">
        <v>350</v>
      </c>
      <c r="N36" s="88">
        <f>$M36*30/100</f>
        <v>105</v>
      </c>
      <c r="O36" s="87">
        <f t="shared" si="18"/>
        <v>3320</v>
      </c>
      <c r="P36" s="87"/>
      <c r="Q36" s="288"/>
      <c r="S36" s="243">
        <f>$Q36-$O36</f>
        <v>-3320</v>
      </c>
    </row>
    <row r="37" spans="1:19" ht="12.75">
      <c r="A37" s="107" t="s">
        <v>8</v>
      </c>
      <c r="B37" s="76">
        <v>2</v>
      </c>
      <c r="C37" s="45">
        <f t="shared" si="12"/>
        <v>4100</v>
      </c>
      <c r="D37" s="45">
        <f t="shared" si="13"/>
        <v>205</v>
      </c>
      <c r="E37" s="249">
        <v>8200</v>
      </c>
      <c r="F37" s="91"/>
      <c r="G37" s="267">
        <f t="shared" si="14"/>
        <v>8200</v>
      </c>
      <c r="H37" s="267">
        <f t="shared" si="15"/>
        <v>4100</v>
      </c>
      <c r="I37" s="267">
        <f t="shared" si="16"/>
        <v>11.38888888888889</v>
      </c>
      <c r="J37" s="81" t="s">
        <v>450</v>
      </c>
      <c r="K37" s="81" t="s">
        <v>453</v>
      </c>
      <c r="L37" s="278">
        <f>$G37-4305*$B37</f>
        <v>-410</v>
      </c>
      <c r="M37" s="41">
        <v>350</v>
      </c>
      <c r="N37" s="88">
        <f t="shared" si="17"/>
        <v>35</v>
      </c>
      <c r="O37" s="87">
        <f t="shared" si="18"/>
        <v>1180</v>
      </c>
      <c r="P37" s="87"/>
      <c r="Q37" s="41">
        <v>1200</v>
      </c>
      <c r="R37" s="41" t="s">
        <v>24</v>
      </c>
      <c r="S37" s="273">
        <f t="shared" si="19"/>
        <v>20</v>
      </c>
    </row>
    <row r="38" spans="1:19" ht="12.75">
      <c r="A38" s="107" t="s">
        <v>10</v>
      </c>
      <c r="B38" s="76">
        <v>1</v>
      </c>
      <c r="C38" s="45">
        <f t="shared" si="12"/>
        <v>4100</v>
      </c>
      <c r="D38" s="45">
        <f t="shared" si="13"/>
        <v>205</v>
      </c>
      <c r="E38" s="249">
        <v>4100</v>
      </c>
      <c r="F38" s="265">
        <v>700</v>
      </c>
      <c r="G38" s="267">
        <f t="shared" si="14"/>
        <v>4800</v>
      </c>
      <c r="H38" s="273">
        <f t="shared" si="15"/>
        <v>4800</v>
      </c>
      <c r="I38" s="267">
        <f t="shared" si="16"/>
        <v>11.38888888888889</v>
      </c>
      <c r="J38" s="81" t="s">
        <v>450</v>
      </c>
      <c r="K38" s="81" t="s">
        <v>453</v>
      </c>
      <c r="L38" s="278">
        <f>$G38-4305*$B38</f>
        <v>495</v>
      </c>
      <c r="M38" s="41">
        <v>350</v>
      </c>
      <c r="N38" s="88">
        <f t="shared" si="17"/>
        <v>35</v>
      </c>
      <c r="O38" s="87">
        <f t="shared" si="18"/>
        <v>-110</v>
      </c>
      <c r="P38" s="87"/>
      <c r="Q38" s="272">
        <v>700</v>
      </c>
      <c r="R38" s="41" t="s">
        <v>24</v>
      </c>
      <c r="S38" s="273">
        <f t="shared" si="19"/>
        <v>810</v>
      </c>
    </row>
    <row r="39" spans="1:19" ht="12.75">
      <c r="A39" s="107" t="s">
        <v>98</v>
      </c>
      <c r="B39" s="76">
        <v>1</v>
      </c>
      <c r="C39" s="45">
        <f t="shared" si="12"/>
        <v>4100</v>
      </c>
      <c r="D39" s="45">
        <f t="shared" si="13"/>
        <v>205</v>
      </c>
      <c r="E39" s="249">
        <v>4100</v>
      </c>
      <c r="F39" s="265">
        <v>700</v>
      </c>
      <c r="G39" s="267">
        <f t="shared" si="14"/>
        <v>4800</v>
      </c>
      <c r="H39" s="273">
        <f t="shared" si="15"/>
        <v>4800</v>
      </c>
      <c r="I39" s="267">
        <f t="shared" si="16"/>
        <v>11.38888888888889</v>
      </c>
      <c r="J39" s="81" t="s">
        <v>450</v>
      </c>
      <c r="K39" s="81" t="s">
        <v>453</v>
      </c>
      <c r="L39" s="278">
        <f>$G39-4305*$B39</f>
        <v>495</v>
      </c>
      <c r="M39" s="41">
        <v>350</v>
      </c>
      <c r="N39" s="88">
        <f t="shared" si="17"/>
        <v>35</v>
      </c>
      <c r="O39" s="87">
        <f t="shared" si="18"/>
        <v>-110</v>
      </c>
      <c r="P39" s="87"/>
      <c r="Q39" s="272">
        <v>700</v>
      </c>
      <c r="R39" s="41" t="s">
        <v>24</v>
      </c>
      <c r="S39" s="273">
        <f t="shared" si="19"/>
        <v>810</v>
      </c>
    </row>
    <row r="40" spans="1:19" ht="12.75">
      <c r="A40" s="107" t="s">
        <v>99</v>
      </c>
      <c r="B40" s="76">
        <v>1</v>
      </c>
      <c r="C40" s="45">
        <f t="shared" si="12"/>
        <v>4100</v>
      </c>
      <c r="D40" s="45">
        <f t="shared" si="13"/>
        <v>205</v>
      </c>
      <c r="E40" s="249">
        <v>4100</v>
      </c>
      <c r="F40" s="265">
        <v>800</v>
      </c>
      <c r="G40" s="267">
        <f t="shared" si="14"/>
        <v>4900</v>
      </c>
      <c r="H40" s="273">
        <f t="shared" si="15"/>
        <v>4900</v>
      </c>
      <c r="I40" s="267">
        <f t="shared" si="16"/>
        <v>11.38888888888889</v>
      </c>
      <c r="J40" s="81" t="s">
        <v>450</v>
      </c>
      <c r="K40" s="81" t="s">
        <v>453</v>
      </c>
      <c r="L40" s="278">
        <f>$G40-4305*$B40</f>
        <v>595</v>
      </c>
      <c r="M40" s="41">
        <v>350</v>
      </c>
      <c r="N40" s="88">
        <f t="shared" si="17"/>
        <v>35</v>
      </c>
      <c r="O40" s="87">
        <f t="shared" si="18"/>
        <v>-210</v>
      </c>
      <c r="P40" s="87"/>
      <c r="Q40" s="272">
        <v>800</v>
      </c>
      <c r="R40" s="41" t="s">
        <v>466</v>
      </c>
      <c r="S40" s="273">
        <f t="shared" si="19"/>
        <v>1010</v>
      </c>
    </row>
    <row r="41" spans="1:19" ht="12.75">
      <c r="A41" s="107" t="s">
        <v>100</v>
      </c>
      <c r="B41" s="76">
        <v>0.15</v>
      </c>
      <c r="C41" s="45">
        <f t="shared" si="12"/>
        <v>4100</v>
      </c>
      <c r="D41" s="45">
        <f t="shared" si="13"/>
        <v>205</v>
      </c>
      <c r="E41" s="257">
        <v>200</v>
      </c>
      <c r="F41" s="91"/>
      <c r="G41" s="267">
        <f t="shared" si="14"/>
        <v>200</v>
      </c>
      <c r="H41" s="267">
        <f t="shared" si="15"/>
        <v>1333.3333333333335</v>
      </c>
      <c r="I41" s="267">
        <f t="shared" si="16"/>
        <v>3.703703703703704</v>
      </c>
      <c r="M41" s="41">
        <v>350</v>
      </c>
      <c r="N41" s="88">
        <f t="shared" si="17"/>
        <v>35</v>
      </c>
      <c r="O41" s="87">
        <f t="shared" si="18"/>
        <v>503.5</v>
      </c>
      <c r="P41" s="87"/>
      <c r="Q41" s="288"/>
      <c r="R41" s="41" t="s">
        <v>478</v>
      </c>
      <c r="S41" s="243"/>
    </row>
    <row r="42" spans="1:19" ht="12.75">
      <c r="A42" s="107" t="s">
        <v>102</v>
      </c>
      <c r="B42" s="76">
        <v>0.1</v>
      </c>
      <c r="C42" s="45">
        <f t="shared" si="12"/>
        <v>4100</v>
      </c>
      <c r="D42" s="45">
        <f t="shared" si="13"/>
        <v>205</v>
      </c>
      <c r="E42" s="249">
        <v>892</v>
      </c>
      <c r="F42" s="91"/>
      <c r="G42" s="267">
        <f t="shared" si="14"/>
        <v>892</v>
      </c>
      <c r="H42" s="267">
        <f t="shared" si="15"/>
        <v>8920</v>
      </c>
      <c r="I42" s="267">
        <f t="shared" si="16"/>
        <v>24.77777777777778</v>
      </c>
      <c r="M42" s="41">
        <v>350</v>
      </c>
      <c r="N42" s="88">
        <f t="shared" si="17"/>
        <v>35</v>
      </c>
      <c r="O42" s="87">
        <f t="shared" si="18"/>
        <v>-423</v>
      </c>
      <c r="P42" s="87"/>
      <c r="Q42" s="288"/>
      <c r="R42" s="41" t="s">
        <v>478</v>
      </c>
      <c r="S42" s="243"/>
    </row>
    <row r="43" spans="1:19" ht="12.75">
      <c r="A43" s="107" t="s">
        <v>13</v>
      </c>
      <c r="B43" s="76">
        <v>1</v>
      </c>
      <c r="C43" s="45">
        <f t="shared" si="12"/>
        <v>4100</v>
      </c>
      <c r="D43" s="45">
        <f t="shared" si="13"/>
        <v>205</v>
      </c>
      <c r="E43" s="249">
        <v>4100</v>
      </c>
      <c r="F43" s="91"/>
      <c r="G43" s="267">
        <f t="shared" si="14"/>
        <v>4100</v>
      </c>
      <c r="H43" s="267">
        <f t="shared" si="15"/>
        <v>4100</v>
      </c>
      <c r="I43" s="267">
        <f t="shared" si="16"/>
        <v>11.38888888888889</v>
      </c>
      <c r="J43" s="81" t="s">
        <v>450</v>
      </c>
      <c r="K43" s="81" t="s">
        <v>453</v>
      </c>
      <c r="L43" s="278">
        <f>$G43-4305*$B43</f>
        <v>-205</v>
      </c>
      <c r="M43" s="41">
        <v>350</v>
      </c>
      <c r="N43" s="88">
        <f t="shared" si="17"/>
        <v>35</v>
      </c>
      <c r="O43" s="87">
        <f t="shared" si="18"/>
        <v>590</v>
      </c>
      <c r="P43" s="87"/>
      <c r="Q43" s="41">
        <v>600</v>
      </c>
      <c r="R43" s="41" t="s">
        <v>466</v>
      </c>
      <c r="S43" s="273">
        <f t="shared" si="19"/>
        <v>10</v>
      </c>
    </row>
    <row r="44" spans="1:19" ht="12.75">
      <c r="A44" s="107" t="s">
        <v>14</v>
      </c>
      <c r="B44" s="76">
        <v>1</v>
      </c>
      <c r="C44" s="45">
        <f t="shared" si="12"/>
        <v>4100</v>
      </c>
      <c r="D44" s="45">
        <f t="shared" si="13"/>
        <v>205</v>
      </c>
      <c r="E44" s="249">
        <v>4100</v>
      </c>
      <c r="F44" s="91"/>
      <c r="G44" s="267">
        <f t="shared" si="14"/>
        <v>4100</v>
      </c>
      <c r="H44" s="267">
        <f t="shared" si="15"/>
        <v>4100</v>
      </c>
      <c r="I44" s="267">
        <f t="shared" si="16"/>
        <v>11.38888888888889</v>
      </c>
      <c r="J44" s="81" t="s">
        <v>450</v>
      </c>
      <c r="K44" s="81" t="s">
        <v>453</v>
      </c>
      <c r="L44" s="278">
        <f>$G44-4305*$B44</f>
        <v>-205</v>
      </c>
      <c r="M44" s="41">
        <v>350</v>
      </c>
      <c r="N44" s="88">
        <f t="shared" si="17"/>
        <v>35</v>
      </c>
      <c r="O44" s="87">
        <f t="shared" si="18"/>
        <v>590</v>
      </c>
      <c r="P44" s="87"/>
      <c r="Q44" s="41">
        <v>600</v>
      </c>
      <c r="R44" s="41" t="s">
        <v>466</v>
      </c>
      <c r="S44" s="273">
        <f t="shared" si="19"/>
        <v>10</v>
      </c>
    </row>
    <row r="45" ht="12.75">
      <c r="D45" s="263" t="s">
        <v>442</v>
      </c>
    </row>
    <row r="46" spans="1:22" ht="76.5">
      <c r="A46" s="33" t="s">
        <v>0</v>
      </c>
      <c r="B46" s="35" t="s">
        <v>39</v>
      </c>
      <c r="C46" s="35" t="s">
        <v>44</v>
      </c>
      <c r="D46" s="35" t="s">
        <v>43</v>
      </c>
      <c r="E46" s="165" t="s">
        <v>441</v>
      </c>
      <c r="F46" s="229" t="s">
        <v>456</v>
      </c>
      <c r="G46" s="266" t="s">
        <v>446</v>
      </c>
      <c r="H46" s="266" t="s">
        <v>448</v>
      </c>
      <c r="I46" s="266" t="s">
        <v>457</v>
      </c>
      <c r="J46" s="266" t="s">
        <v>449</v>
      </c>
      <c r="K46" s="266" t="s">
        <v>451</v>
      </c>
      <c r="L46" s="266" t="s">
        <v>461</v>
      </c>
      <c r="M46" s="35" t="s">
        <v>45</v>
      </c>
      <c r="N46" s="35" t="s">
        <v>42</v>
      </c>
      <c r="O46" s="37" t="s">
        <v>462</v>
      </c>
      <c r="P46" s="37" t="s">
        <v>477</v>
      </c>
      <c r="Q46" s="282" t="s">
        <v>467</v>
      </c>
      <c r="R46" s="282" t="s">
        <v>463</v>
      </c>
      <c r="S46" s="282" t="s">
        <v>472</v>
      </c>
      <c r="T46" s="41" t="s">
        <v>230</v>
      </c>
      <c r="V46" s="41" t="s">
        <v>465</v>
      </c>
    </row>
    <row r="47" spans="1:13" ht="12.75">
      <c r="A47" s="175" t="s">
        <v>469</v>
      </c>
      <c r="B47" s="28"/>
      <c r="C47" s="28"/>
      <c r="M47" s="149"/>
    </row>
    <row r="48" spans="1:16" ht="12.75">
      <c r="A48" s="101" t="s">
        <v>18</v>
      </c>
      <c r="B48" s="65"/>
      <c r="C48" s="65"/>
      <c r="M48" s="84"/>
      <c r="O48" s="200"/>
      <c r="P48" s="200"/>
    </row>
    <row r="49" spans="1:19" ht="12.75">
      <c r="A49" s="74" t="s">
        <v>82</v>
      </c>
      <c r="B49" s="44">
        <v>1</v>
      </c>
      <c r="C49" s="207">
        <v>3620</v>
      </c>
      <c r="D49" s="45">
        <f>$C49*5/100</f>
        <v>181</v>
      </c>
      <c r="E49" s="275">
        <f>2000+1589</f>
        <v>3589</v>
      </c>
      <c r="G49" s="267">
        <f aca="true" t="shared" si="20" ref="G49:G58">SUM($E49,$F49)</f>
        <v>3589</v>
      </c>
      <c r="H49" s="267">
        <f aca="true" t="shared" si="21" ref="H49:H56">SUM($E49,$F49)/$B49</f>
        <v>3589</v>
      </c>
      <c r="I49" s="267">
        <f>(401+$E49/$B49)/360</f>
        <v>11.083333333333334</v>
      </c>
      <c r="J49" s="81" t="s">
        <v>450</v>
      </c>
      <c r="K49" s="81" t="s">
        <v>453</v>
      </c>
      <c r="L49" s="278">
        <f>$G49-3805*$B49</f>
        <v>-216</v>
      </c>
      <c r="M49" s="86"/>
      <c r="O49" s="87">
        <f aca="true" t="shared" si="22" ref="O49:O57">B49*(C49+D49+M49+N49)-G49</f>
        <v>212</v>
      </c>
      <c r="P49" s="87"/>
      <c r="Q49" s="41">
        <v>500</v>
      </c>
      <c r="R49" s="41" t="s">
        <v>91</v>
      </c>
      <c r="S49" s="273">
        <f aca="true" t="shared" si="23" ref="S49:S56">$Q49-$O49</f>
        <v>288</v>
      </c>
    </row>
    <row r="50" spans="1:19" ht="12.75">
      <c r="A50" s="74" t="s">
        <v>3</v>
      </c>
      <c r="B50" s="60">
        <v>2</v>
      </c>
      <c r="C50" s="45">
        <f>4100-500</f>
        <v>3600</v>
      </c>
      <c r="D50" s="45">
        <f>$C50*5/100</f>
        <v>180</v>
      </c>
      <c r="E50" s="275">
        <f>4000+2186</f>
        <v>6186</v>
      </c>
      <c r="G50" s="267">
        <f t="shared" si="20"/>
        <v>6186</v>
      </c>
      <c r="H50" s="267">
        <f t="shared" si="21"/>
        <v>3093</v>
      </c>
      <c r="I50" s="267">
        <f>(401+$E50/$B50)/360</f>
        <v>9.705555555555556</v>
      </c>
      <c r="J50" s="81" t="s">
        <v>443</v>
      </c>
      <c r="K50" s="81" t="s">
        <v>452</v>
      </c>
      <c r="L50" s="278">
        <f>$G50-3805*$B50</f>
        <v>-1424</v>
      </c>
      <c r="M50" s="86">
        <f>$M$4</f>
        <v>350</v>
      </c>
      <c r="N50" s="88">
        <f>$M50*10/100</f>
        <v>35</v>
      </c>
      <c r="O50" s="87">
        <f t="shared" si="22"/>
        <v>2144</v>
      </c>
      <c r="P50" s="87">
        <v>14</v>
      </c>
      <c r="Q50" s="288"/>
      <c r="S50" s="268">
        <f t="shared" si="23"/>
        <v>-2144</v>
      </c>
    </row>
    <row r="51" spans="1:19" ht="12.75">
      <c r="A51" s="99" t="s">
        <v>340</v>
      </c>
      <c r="B51" s="84">
        <v>1</v>
      </c>
      <c r="C51" s="203"/>
      <c r="G51" s="268">
        <f t="shared" si="20"/>
        <v>0</v>
      </c>
      <c r="H51" s="268">
        <f t="shared" si="21"/>
        <v>0</v>
      </c>
      <c r="M51" s="86">
        <f>$M$4</f>
        <v>350</v>
      </c>
      <c r="N51" s="88">
        <f>$M51*10/100</f>
        <v>35</v>
      </c>
      <c r="O51" s="87">
        <f t="shared" si="22"/>
        <v>385</v>
      </c>
      <c r="P51" s="87"/>
      <c r="Q51" s="288"/>
      <c r="S51" s="268">
        <f t="shared" si="23"/>
        <v>-385</v>
      </c>
    </row>
    <row r="52" spans="1:19" ht="12.75">
      <c r="A52" s="74" t="s">
        <v>90</v>
      </c>
      <c r="B52" s="44">
        <v>1</v>
      </c>
      <c r="C52" s="45">
        <f>4100-500</f>
        <v>3600</v>
      </c>
      <c r="D52" s="45">
        <f>$C52*5/100</f>
        <v>180</v>
      </c>
      <c r="E52" s="275">
        <f>2010+1300</f>
        <v>3310</v>
      </c>
      <c r="G52" s="267">
        <f t="shared" si="20"/>
        <v>3310</v>
      </c>
      <c r="H52" s="267">
        <f t="shared" si="21"/>
        <v>3310</v>
      </c>
      <c r="I52" s="267">
        <f>(401+$E52/$B52)/360</f>
        <v>10.308333333333334</v>
      </c>
      <c r="J52" s="81" t="s">
        <v>443</v>
      </c>
      <c r="K52" s="81" t="s">
        <v>452</v>
      </c>
      <c r="L52" s="278">
        <f>$G52-3805*$B52</f>
        <v>-495</v>
      </c>
      <c r="M52" s="86">
        <f>$M$4</f>
        <v>350</v>
      </c>
      <c r="N52" s="88">
        <f>$M52*10/100</f>
        <v>35</v>
      </c>
      <c r="O52" s="87">
        <f t="shared" si="22"/>
        <v>855</v>
      </c>
      <c r="P52" s="87">
        <v>476</v>
      </c>
      <c r="Q52" s="41" t="s">
        <v>476</v>
      </c>
      <c r="R52" s="41" t="s">
        <v>91</v>
      </c>
      <c r="S52" s="268"/>
    </row>
    <row r="53" spans="1:19" ht="12.75">
      <c r="A53" s="74" t="s">
        <v>153</v>
      </c>
      <c r="B53" s="44">
        <v>2</v>
      </c>
      <c r="C53" s="45">
        <f>4100-500</f>
        <v>3600</v>
      </c>
      <c r="D53" s="45">
        <f>$C53*5/100</f>
        <v>180</v>
      </c>
      <c r="E53" s="275">
        <f>4000+2090</f>
        <v>6090</v>
      </c>
      <c r="G53" s="267">
        <f t="shared" si="20"/>
        <v>6090</v>
      </c>
      <c r="H53" s="267">
        <f t="shared" si="21"/>
        <v>3045</v>
      </c>
      <c r="I53" s="267">
        <f>(401+$E53/$B53)/360</f>
        <v>9.572222222222223</v>
      </c>
      <c r="J53" s="81" t="s">
        <v>443</v>
      </c>
      <c r="K53" s="81" t="s">
        <v>452</v>
      </c>
      <c r="L53" s="278">
        <f>$G53-3805*$B53</f>
        <v>-1520</v>
      </c>
      <c r="M53" s="86"/>
      <c r="O53" s="87">
        <f t="shared" si="22"/>
        <v>1470</v>
      </c>
      <c r="P53" s="87"/>
      <c r="Q53" s="41">
        <v>1900</v>
      </c>
      <c r="R53" s="41" t="s">
        <v>91</v>
      </c>
      <c r="S53" s="273">
        <f t="shared" si="23"/>
        <v>430</v>
      </c>
    </row>
    <row r="54" spans="1:19" ht="12.75">
      <c r="A54" s="99" t="s">
        <v>152</v>
      </c>
      <c r="B54" s="84">
        <v>2</v>
      </c>
      <c r="C54" s="215">
        <v>0</v>
      </c>
      <c r="G54" s="268">
        <f t="shared" si="20"/>
        <v>0</v>
      </c>
      <c r="H54" s="268">
        <f t="shared" si="21"/>
        <v>0</v>
      </c>
      <c r="M54" s="86">
        <f>$M$4</f>
        <v>350</v>
      </c>
      <c r="N54" s="88">
        <f>$M54*10/100</f>
        <v>35</v>
      </c>
      <c r="O54" s="87">
        <f t="shared" si="22"/>
        <v>770</v>
      </c>
      <c r="P54" s="87"/>
      <c r="Q54" s="288"/>
      <c r="S54" s="268"/>
    </row>
    <row r="55" spans="1:20" ht="12.75">
      <c r="A55" s="74" t="s">
        <v>81</v>
      </c>
      <c r="B55" s="44">
        <v>2</v>
      </c>
      <c r="C55" s="45">
        <f>4100-500</f>
        <v>3600</v>
      </c>
      <c r="D55" s="45">
        <f>$C55*5/100</f>
        <v>180</v>
      </c>
      <c r="E55" s="275">
        <f>3915+1975</f>
        <v>5890</v>
      </c>
      <c r="F55" s="269">
        <v>2189</v>
      </c>
      <c r="G55" s="267">
        <f t="shared" si="20"/>
        <v>8079</v>
      </c>
      <c r="H55" s="273">
        <f t="shared" si="21"/>
        <v>4039.5</v>
      </c>
      <c r="I55" s="81"/>
      <c r="J55" s="81"/>
      <c r="K55" s="272"/>
      <c r="M55" s="86"/>
      <c r="O55" s="87"/>
      <c r="P55" s="87"/>
      <c r="Q55" s="41">
        <v>2300</v>
      </c>
      <c r="R55" s="41" t="s">
        <v>91</v>
      </c>
      <c r="S55" s="273">
        <f t="shared" si="23"/>
        <v>2300</v>
      </c>
      <c r="T55" s="175" t="s">
        <v>470</v>
      </c>
    </row>
    <row r="56" spans="1:19" ht="12.75">
      <c r="A56" s="109" t="s">
        <v>337</v>
      </c>
      <c r="B56" s="110">
        <v>3</v>
      </c>
      <c r="C56" s="45">
        <f>4100-500</f>
        <v>3600</v>
      </c>
      <c r="D56" s="45">
        <f>$C56*5/100</f>
        <v>180</v>
      </c>
      <c r="E56" s="275">
        <f>5070+3080</f>
        <v>8150</v>
      </c>
      <c r="F56" s="269">
        <v>1910</v>
      </c>
      <c r="G56" s="267">
        <f t="shared" si="20"/>
        <v>10060</v>
      </c>
      <c r="H56" s="267">
        <f t="shared" si="21"/>
        <v>3353.3333333333335</v>
      </c>
      <c r="I56" s="267">
        <f>(401+$E56/$B56)/360</f>
        <v>8.660185185185185</v>
      </c>
      <c r="J56" s="81" t="s">
        <v>453</v>
      </c>
      <c r="K56" s="276" t="s">
        <v>458</v>
      </c>
      <c r="L56" s="278">
        <f>$G56-3805*$B56</f>
        <v>-1355</v>
      </c>
      <c r="M56" s="86">
        <f>$M$4</f>
        <v>350</v>
      </c>
      <c r="N56" s="88">
        <f>$M56*10/100</f>
        <v>35</v>
      </c>
      <c r="O56" s="87">
        <f t="shared" si="22"/>
        <v>2435</v>
      </c>
      <c r="P56" s="87"/>
      <c r="Q56" s="41">
        <v>5500</v>
      </c>
      <c r="R56" s="41" t="s">
        <v>91</v>
      </c>
      <c r="S56" s="273">
        <f t="shared" si="23"/>
        <v>3065</v>
      </c>
    </row>
    <row r="57" spans="1:17" ht="12.75">
      <c r="A57" s="210" t="s">
        <v>339</v>
      </c>
      <c r="B57" s="211">
        <v>4</v>
      </c>
      <c r="C57" s="203">
        <v>0</v>
      </c>
      <c r="M57" s="86">
        <f>$M$4</f>
        <v>350</v>
      </c>
      <c r="N57" s="88">
        <f>$M57*10/100</f>
        <v>35</v>
      </c>
      <c r="O57" s="87">
        <f t="shared" si="22"/>
        <v>1540</v>
      </c>
      <c r="P57" s="87"/>
      <c r="Q57" s="288"/>
    </row>
    <row r="58" spans="1:20" ht="12.75">
      <c r="A58" s="106" t="s">
        <v>114</v>
      </c>
      <c r="B58" s="44">
        <v>1</v>
      </c>
      <c r="C58" s="45">
        <v>500</v>
      </c>
      <c r="D58" s="45"/>
      <c r="E58" s="277">
        <f>281+120</f>
        <v>401</v>
      </c>
      <c r="F58" s="265">
        <v>28</v>
      </c>
      <c r="G58" s="267">
        <f t="shared" si="20"/>
        <v>429</v>
      </c>
      <c r="H58" s="81"/>
      <c r="I58" s="81"/>
      <c r="J58" s="81"/>
      <c r="K58" s="81"/>
      <c r="L58" s="278">
        <f>$G58-500*$B58</f>
        <v>-71</v>
      </c>
      <c r="O58" s="180"/>
      <c r="P58" s="180"/>
      <c r="T58" s="175" t="s">
        <v>479</v>
      </c>
    </row>
  </sheetData>
  <printOptions/>
  <pageMargins left="0.75" right="0.75" top="1" bottom="1" header="0.5" footer="0.5"/>
  <pageSetup fitToHeight="1" fitToWidth="1" horizontalDpi="600" verticalDpi="600" orientation="landscape" paperSize="8" scale="8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6"/>
  <sheetViews>
    <sheetView tabSelected="1" workbookViewId="0" topLeftCell="A28">
      <selection activeCell="F58" sqref="F58"/>
    </sheetView>
  </sheetViews>
  <sheetFormatPr defaultColWidth="9.140625" defaultRowHeight="12.75"/>
  <cols>
    <col min="2" max="2" width="6.7109375" style="0" customWidth="1"/>
    <col min="3" max="3" width="13.8515625" style="0" customWidth="1"/>
    <col min="4" max="4" width="14.421875" style="0" customWidth="1"/>
    <col min="5" max="6" width="13.00390625" style="0" customWidth="1"/>
    <col min="7" max="7" width="13.7109375" style="0" customWidth="1"/>
    <col min="8" max="8" width="15.140625" style="0" customWidth="1"/>
    <col min="9" max="9" width="11.7109375" style="0" customWidth="1"/>
    <col min="10" max="10" width="12.00390625" style="0" customWidth="1"/>
  </cols>
  <sheetData>
    <row r="1" spans="5:7" ht="12.75">
      <c r="E1" s="4" t="s">
        <v>127</v>
      </c>
      <c r="F1" s="4" t="s">
        <v>135</v>
      </c>
      <c r="G1" s="4" t="s">
        <v>136</v>
      </c>
    </row>
    <row r="2" spans="1:8" ht="12.75">
      <c r="A2" s="181" t="s">
        <v>297</v>
      </c>
      <c r="C2" t="s">
        <v>421</v>
      </c>
      <c r="E2" s="261">
        <v>698300</v>
      </c>
      <c r="F2" s="261">
        <v>930</v>
      </c>
      <c r="G2" s="261">
        <v>22800</v>
      </c>
      <c r="H2" s="8"/>
    </row>
    <row r="3" spans="3:8" ht="12.75">
      <c r="C3" t="s">
        <v>422</v>
      </c>
      <c r="E3" s="4">
        <f>E4-E2</f>
        <v>103700</v>
      </c>
      <c r="F3" s="4"/>
      <c r="G3" s="4">
        <v>3400</v>
      </c>
      <c r="H3" t="s">
        <v>427</v>
      </c>
    </row>
    <row r="4" spans="3:7" ht="12.75">
      <c r="C4" t="s">
        <v>423</v>
      </c>
      <c r="E4" s="4">
        <v>802000</v>
      </c>
      <c r="F4" s="4"/>
      <c r="G4" s="4">
        <f>G2+G3</f>
        <v>26200</v>
      </c>
    </row>
    <row r="5" spans="3:10" ht="12.75">
      <c r="C5" t="s">
        <v>424</v>
      </c>
      <c r="E5" s="5">
        <f>'BLM chambers '!I13+50*183</f>
        <v>800430</v>
      </c>
      <c r="F5" s="4"/>
      <c r="G5" s="5">
        <f>'BLM chambers '!I16+50*6</f>
        <v>26130</v>
      </c>
      <c r="J5" s="191">
        <f>50*183</f>
        <v>9150</v>
      </c>
    </row>
    <row r="6" spans="5:7" ht="12.75">
      <c r="E6" s="4"/>
      <c r="F6" s="4"/>
      <c r="G6" s="4"/>
    </row>
    <row r="7" spans="3:7" ht="12.75">
      <c r="C7" t="s">
        <v>425</v>
      </c>
      <c r="E7" s="4">
        <f>E59</f>
        <v>714513</v>
      </c>
      <c r="F7" s="4">
        <v>948</v>
      </c>
      <c r="G7" s="4">
        <f>E79</f>
        <v>27226</v>
      </c>
    </row>
    <row r="8" spans="5:7" ht="12.75">
      <c r="E8" s="4"/>
      <c r="F8" s="4"/>
      <c r="G8" s="4"/>
    </row>
    <row r="9" spans="3:7" ht="12.75">
      <c r="C9" t="s">
        <v>426</v>
      </c>
      <c r="E9" s="4">
        <f>E4-E7</f>
        <v>87487</v>
      </c>
      <c r="F9" s="4"/>
      <c r="G9" s="4">
        <f>G4-G7</f>
        <v>-1026</v>
      </c>
    </row>
    <row r="12" spans="3:9" ht="12.75">
      <c r="C12" s="43" t="s">
        <v>129</v>
      </c>
      <c r="D12" s="97" t="s">
        <v>130</v>
      </c>
      <c r="E12" s="41" t="s">
        <v>131</v>
      </c>
      <c r="F12" s="41" t="s">
        <v>134</v>
      </c>
      <c r="G12" s="41" t="s">
        <v>132</v>
      </c>
      <c r="H12" s="41" t="s">
        <v>133</v>
      </c>
      <c r="I12" s="184" t="s">
        <v>283</v>
      </c>
    </row>
    <row r="13" spans="2:8" ht="12.75">
      <c r="B13" t="s">
        <v>220</v>
      </c>
      <c r="C13" s="175" t="s">
        <v>127</v>
      </c>
      <c r="D13" s="175"/>
      <c r="E13" s="175"/>
      <c r="F13" s="175"/>
      <c r="G13" s="175"/>
      <c r="H13" s="175"/>
    </row>
    <row r="14" spans="2:8" ht="12.75">
      <c r="B14">
        <f>SUM(E16:E20,E67,E74:E75)</f>
        <v>47444</v>
      </c>
      <c r="C14" s="41"/>
      <c r="D14" s="41" t="s">
        <v>139</v>
      </c>
      <c r="E14" s="41">
        <v>9300</v>
      </c>
      <c r="F14" s="41"/>
      <c r="G14" s="41">
        <v>9170</v>
      </c>
      <c r="H14" s="41"/>
    </row>
    <row r="15" spans="2:8" ht="12.75">
      <c r="B15" t="s">
        <v>221</v>
      </c>
      <c r="C15" s="41"/>
      <c r="D15" s="41"/>
      <c r="E15" s="41">
        <v>0</v>
      </c>
      <c r="F15" s="41"/>
      <c r="G15" s="41">
        <v>103</v>
      </c>
      <c r="H15" s="41"/>
    </row>
    <row r="16" spans="2:9" ht="12.75">
      <c r="B16">
        <f>SUM(E21:E26)</f>
        <v>52230</v>
      </c>
      <c r="C16" s="41"/>
      <c r="D16" s="41" t="s">
        <v>137</v>
      </c>
      <c r="E16" s="41">
        <v>14600</v>
      </c>
      <c r="F16" s="41" t="s">
        <v>91</v>
      </c>
      <c r="G16" s="82">
        <f>2340+6000+114+7370</f>
        <v>15824</v>
      </c>
      <c r="H16" s="41" t="s">
        <v>106</v>
      </c>
      <c r="I16">
        <v>1</v>
      </c>
    </row>
    <row r="17" spans="1:9" ht="12.75">
      <c r="A17" t="s">
        <v>283</v>
      </c>
      <c r="C17" s="41"/>
      <c r="D17" s="41"/>
      <c r="E17" s="41">
        <v>0</v>
      </c>
      <c r="F17" s="41"/>
      <c r="G17" s="82"/>
      <c r="H17" s="41"/>
      <c r="I17">
        <v>2</v>
      </c>
    </row>
    <row r="18" spans="3:9" ht="12.75">
      <c r="C18" s="41"/>
      <c r="D18" s="41"/>
      <c r="E18" s="41">
        <v>0</v>
      </c>
      <c r="F18" s="41"/>
      <c r="G18" s="82"/>
      <c r="H18" s="41"/>
      <c r="I18">
        <v>3</v>
      </c>
    </row>
    <row r="19" spans="3:9" ht="12.75">
      <c r="C19" s="41" t="s">
        <v>143</v>
      </c>
      <c r="D19" s="41" t="s">
        <v>128</v>
      </c>
      <c r="E19" s="41">
        <v>10000</v>
      </c>
      <c r="F19" s="41" t="s">
        <v>91</v>
      </c>
      <c r="G19" s="82">
        <v>10000</v>
      </c>
      <c r="H19" s="41" t="s">
        <v>106</v>
      </c>
      <c r="I19">
        <v>4</v>
      </c>
    </row>
    <row r="20" spans="3:9" ht="12.75">
      <c r="C20" s="41"/>
      <c r="D20" s="41" t="s">
        <v>140</v>
      </c>
      <c r="E20" s="41">
        <v>10740</v>
      </c>
      <c r="F20" s="41" t="s">
        <v>91</v>
      </c>
      <c r="G20" s="82"/>
      <c r="H20" s="41"/>
      <c r="I20">
        <v>5</v>
      </c>
    </row>
    <row r="21" spans="3:11" ht="12.75">
      <c r="C21" s="41" t="s">
        <v>141</v>
      </c>
      <c r="D21" s="41" t="s">
        <v>142</v>
      </c>
      <c r="E21" s="41">
        <v>11170</v>
      </c>
      <c r="F21" s="41" t="s">
        <v>91</v>
      </c>
      <c r="G21" s="82"/>
      <c r="H21" s="41"/>
      <c r="I21">
        <v>5</v>
      </c>
      <c r="K21" t="s">
        <v>157</v>
      </c>
    </row>
    <row r="22" spans="3:9" ht="12.75">
      <c r="C22" s="41"/>
      <c r="D22" s="41"/>
      <c r="E22" s="41">
        <v>0</v>
      </c>
      <c r="F22" s="41"/>
      <c r="G22" s="82"/>
      <c r="H22" s="41"/>
      <c r="I22">
        <v>6</v>
      </c>
    </row>
    <row r="23" spans="3:11" ht="12.75">
      <c r="C23" s="41" t="s">
        <v>156</v>
      </c>
      <c r="D23" s="41" t="s">
        <v>155</v>
      </c>
      <c r="E23" s="41">
        <v>12730</v>
      </c>
      <c r="F23" s="41" t="s">
        <v>91</v>
      </c>
      <c r="G23" s="82"/>
      <c r="H23" s="41"/>
      <c r="I23">
        <v>7</v>
      </c>
      <c r="K23" t="s">
        <v>158</v>
      </c>
    </row>
    <row r="24" spans="3:9" ht="12.75">
      <c r="C24" s="41"/>
      <c r="D24" s="41"/>
      <c r="E24" s="41">
        <v>0</v>
      </c>
      <c r="F24" s="41"/>
      <c r="G24" s="82"/>
      <c r="H24" s="41"/>
      <c r="I24">
        <v>8</v>
      </c>
    </row>
    <row r="25" spans="3:9" ht="12.75">
      <c r="C25" s="41" t="s">
        <v>159</v>
      </c>
      <c r="D25" s="41" t="s">
        <v>161</v>
      </c>
      <c r="E25" s="41">
        <v>15100</v>
      </c>
      <c r="F25" s="41" t="s">
        <v>91</v>
      </c>
      <c r="G25" s="82"/>
      <c r="H25" s="41"/>
      <c r="I25">
        <v>9</v>
      </c>
    </row>
    <row r="26" spans="2:12" ht="12.75">
      <c r="B26" t="s">
        <v>250</v>
      </c>
      <c r="C26" s="41" t="s">
        <v>160</v>
      </c>
      <c r="D26" s="41" t="s">
        <v>222</v>
      </c>
      <c r="E26" s="41">
        <v>13230</v>
      </c>
      <c r="F26" s="41" t="s">
        <v>91</v>
      </c>
      <c r="G26" s="82"/>
      <c r="H26" s="41"/>
      <c r="I26">
        <v>9</v>
      </c>
      <c r="L26" s="107">
        <f>SUM(E14:E40)-2220</f>
        <v>355355</v>
      </c>
    </row>
    <row r="27" spans="3:12" ht="12.75">
      <c r="C27" s="41" t="s">
        <v>223</v>
      </c>
      <c r="D27" s="41" t="s">
        <v>224</v>
      </c>
      <c r="E27" s="41">
        <v>15330</v>
      </c>
      <c r="F27" s="41" t="s">
        <v>91</v>
      </c>
      <c r="G27" s="82"/>
      <c r="H27" s="41"/>
      <c r="I27">
        <v>10</v>
      </c>
      <c r="L27" s="107">
        <f>SUM(E41:E44)</f>
        <v>49910</v>
      </c>
    </row>
    <row r="28" spans="3:12" ht="12.75">
      <c r="C28" s="41" t="s">
        <v>246</v>
      </c>
      <c r="D28" s="41" t="s">
        <v>247</v>
      </c>
      <c r="E28" s="41">
        <v>18380</v>
      </c>
      <c r="F28" s="41" t="s">
        <v>91</v>
      </c>
      <c r="G28" s="82"/>
      <c r="H28" s="41"/>
      <c r="I28">
        <v>11</v>
      </c>
      <c r="L28" s="107">
        <f>SUM(L26:L27)</f>
        <v>405265</v>
      </c>
    </row>
    <row r="29" spans="3:9" ht="12.75">
      <c r="C29" s="41" t="s">
        <v>248</v>
      </c>
      <c r="D29" s="41" t="s">
        <v>258</v>
      </c>
      <c r="E29" s="41">
        <v>25000</v>
      </c>
      <c r="F29" s="41" t="s">
        <v>24</v>
      </c>
      <c r="G29" s="82"/>
      <c r="H29" s="41"/>
      <c r="I29">
        <v>12</v>
      </c>
    </row>
    <row r="30" spans="3:9" ht="12.75">
      <c r="C30" s="41" t="s">
        <v>257</v>
      </c>
      <c r="D30" s="41" t="s">
        <v>249</v>
      </c>
      <c r="E30" s="41">
        <v>25000</v>
      </c>
      <c r="F30" s="41" t="s">
        <v>24</v>
      </c>
      <c r="G30" s="82"/>
      <c r="H30" s="41"/>
      <c r="I30">
        <v>13</v>
      </c>
    </row>
    <row r="31" spans="2:9" ht="12.75">
      <c r="B31" t="s">
        <v>270</v>
      </c>
      <c r="C31" s="41" t="s">
        <v>259</v>
      </c>
      <c r="D31" s="41" t="s">
        <v>265</v>
      </c>
      <c r="E31" s="41">
        <v>25000</v>
      </c>
      <c r="F31" s="41" t="s">
        <v>24</v>
      </c>
      <c r="G31" s="82"/>
      <c r="H31" s="41"/>
      <c r="I31">
        <v>14</v>
      </c>
    </row>
    <row r="32" spans="3:9" ht="12.75">
      <c r="C32" s="41"/>
      <c r="D32" s="41"/>
      <c r="E32" s="41">
        <v>0</v>
      </c>
      <c r="F32" s="41"/>
      <c r="G32" s="82"/>
      <c r="H32" s="41"/>
      <c r="I32">
        <v>15</v>
      </c>
    </row>
    <row r="33" spans="3:9" ht="12.75">
      <c r="C33" s="41" t="s">
        <v>260</v>
      </c>
      <c r="D33" s="41" t="s">
        <v>266</v>
      </c>
      <c r="E33" s="41">
        <v>23075</v>
      </c>
      <c r="F33" s="41" t="s">
        <v>24</v>
      </c>
      <c r="G33" s="82"/>
      <c r="H33" s="41"/>
      <c r="I33">
        <v>16</v>
      </c>
    </row>
    <row r="34" spans="3:9" ht="12.75">
      <c r="C34" s="41" t="s">
        <v>263</v>
      </c>
      <c r="D34" s="41" t="s">
        <v>264</v>
      </c>
      <c r="E34" s="41">
        <v>21760</v>
      </c>
      <c r="F34" s="41" t="s">
        <v>24</v>
      </c>
      <c r="G34" s="82"/>
      <c r="H34" s="41"/>
      <c r="I34">
        <v>17</v>
      </c>
    </row>
    <row r="35" spans="2:9" ht="12.75">
      <c r="B35" t="s">
        <v>271</v>
      </c>
      <c r="C35" s="41" t="s">
        <v>268</v>
      </c>
      <c r="D35" s="41" t="s">
        <v>269</v>
      </c>
      <c r="E35" s="41">
        <v>25000</v>
      </c>
      <c r="F35" s="41" t="s">
        <v>24</v>
      </c>
      <c r="G35" s="82"/>
      <c r="H35" s="41"/>
      <c r="I35">
        <v>18</v>
      </c>
    </row>
    <row r="36" spans="3:9" ht="12.75">
      <c r="C36" s="41" t="s">
        <v>273</v>
      </c>
      <c r="D36" s="41" t="s">
        <v>274</v>
      </c>
      <c r="E36" s="41">
        <v>25000</v>
      </c>
      <c r="F36" s="41" t="s">
        <v>24</v>
      </c>
      <c r="G36" s="82"/>
      <c r="H36" s="41" t="s">
        <v>278</v>
      </c>
      <c r="I36">
        <v>19</v>
      </c>
    </row>
    <row r="37" spans="3:9" ht="12.75">
      <c r="C37" s="178" t="s">
        <v>275</v>
      </c>
      <c r="D37" s="41" t="s">
        <v>276</v>
      </c>
      <c r="E37" s="178">
        <v>25000</v>
      </c>
      <c r="F37" s="41" t="s">
        <v>24</v>
      </c>
      <c r="G37" s="178" t="s">
        <v>282</v>
      </c>
      <c r="H37" s="41" t="s">
        <v>277</v>
      </c>
      <c r="I37">
        <v>20</v>
      </c>
    </row>
    <row r="38" spans="3:9" ht="12.75">
      <c r="C38" s="178"/>
      <c r="D38" s="41"/>
      <c r="E38" s="178">
        <v>0</v>
      </c>
      <c r="F38" s="41"/>
      <c r="G38" s="178"/>
      <c r="H38" s="41"/>
      <c r="I38">
        <v>21</v>
      </c>
    </row>
    <row r="39" spans="3:9" ht="12.75">
      <c r="C39" s="178" t="s">
        <v>279</v>
      </c>
      <c r="D39" s="41" t="s">
        <v>280</v>
      </c>
      <c r="E39" s="178">
        <v>20160</v>
      </c>
      <c r="F39" s="41" t="s">
        <v>24</v>
      </c>
      <c r="G39" s="178" t="s">
        <v>282</v>
      </c>
      <c r="H39" s="41" t="s">
        <v>281</v>
      </c>
      <c r="I39">
        <v>22</v>
      </c>
    </row>
    <row r="40" spans="3:9" ht="12.75">
      <c r="C40" s="178" t="s">
        <v>325</v>
      </c>
      <c r="D40" s="41" t="s">
        <v>280</v>
      </c>
      <c r="E40" s="178">
        <v>12000</v>
      </c>
      <c r="F40" s="41" t="s">
        <v>24</v>
      </c>
      <c r="G40" s="178" t="s">
        <v>282</v>
      </c>
      <c r="H40" s="41" t="s">
        <v>281</v>
      </c>
      <c r="I40" s="15">
        <v>22</v>
      </c>
    </row>
    <row r="41" spans="2:9" ht="12.75">
      <c r="B41" t="s">
        <v>392</v>
      </c>
      <c r="C41" s="82" t="s">
        <v>326</v>
      </c>
      <c r="D41" s="41" t="s">
        <v>327</v>
      </c>
      <c r="E41" s="183">
        <v>15250</v>
      </c>
      <c r="F41" s="41" t="s">
        <v>24</v>
      </c>
      <c r="G41" s="200" t="s">
        <v>316</v>
      </c>
      <c r="H41" s="41" t="s">
        <v>328</v>
      </c>
      <c r="I41">
        <v>23</v>
      </c>
    </row>
    <row r="42" spans="3:9" ht="12.75">
      <c r="C42" s="82" t="s">
        <v>329</v>
      </c>
      <c r="D42" s="41" t="s">
        <v>327</v>
      </c>
      <c r="E42" s="183">
        <v>9660</v>
      </c>
      <c r="F42" s="41" t="s">
        <v>24</v>
      </c>
      <c r="G42" s="200" t="s">
        <v>316</v>
      </c>
      <c r="H42" s="41" t="s">
        <v>328</v>
      </c>
      <c r="I42">
        <v>23</v>
      </c>
    </row>
    <row r="43" spans="1:9" ht="12.75">
      <c r="A43">
        <v>24</v>
      </c>
      <c r="C43" s="82" t="s">
        <v>347</v>
      </c>
      <c r="D43" s="41" t="s">
        <v>348</v>
      </c>
      <c r="E43" s="183">
        <v>12400</v>
      </c>
      <c r="F43" s="41" t="s">
        <v>24</v>
      </c>
      <c r="G43" s="200" t="s">
        <v>316</v>
      </c>
      <c r="H43" s="41" t="s">
        <v>349</v>
      </c>
      <c r="I43">
        <v>24</v>
      </c>
    </row>
    <row r="44" spans="1:12" ht="12.75">
      <c r="A44">
        <v>24</v>
      </c>
      <c r="C44" s="82" t="s">
        <v>350</v>
      </c>
      <c r="D44" s="41" t="s">
        <v>348</v>
      </c>
      <c r="E44" s="183">
        <v>12600</v>
      </c>
      <c r="F44" s="41" t="s">
        <v>24</v>
      </c>
      <c r="G44" s="200" t="s">
        <v>316</v>
      </c>
      <c r="H44" s="41" t="s">
        <v>349</v>
      </c>
      <c r="I44">
        <v>24</v>
      </c>
      <c r="L44" s="222" t="s">
        <v>351</v>
      </c>
    </row>
    <row r="45" spans="1:12" ht="12.75">
      <c r="A45">
        <v>25</v>
      </c>
      <c r="C45" s="82" t="s">
        <v>385</v>
      </c>
      <c r="D45" s="41" t="s">
        <v>386</v>
      </c>
      <c r="E45" s="183">
        <v>13500</v>
      </c>
      <c r="F45" s="41" t="s">
        <v>24</v>
      </c>
      <c r="G45" s="200" t="s">
        <v>316</v>
      </c>
      <c r="H45" s="41" t="s">
        <v>387</v>
      </c>
      <c r="I45">
        <v>25</v>
      </c>
      <c r="L45" s="222"/>
    </row>
    <row r="46" spans="1:12" ht="12.75">
      <c r="A46">
        <v>25</v>
      </c>
      <c r="C46" s="82" t="s">
        <v>388</v>
      </c>
      <c r="D46" s="41" t="s">
        <v>386</v>
      </c>
      <c r="E46" s="183">
        <v>12000</v>
      </c>
      <c r="F46" s="41" t="s">
        <v>24</v>
      </c>
      <c r="G46" s="200" t="s">
        <v>316</v>
      </c>
      <c r="H46" s="41" t="s">
        <v>387</v>
      </c>
      <c r="I46">
        <v>25</v>
      </c>
      <c r="L46" s="222"/>
    </row>
    <row r="47" spans="1:12" ht="12.75">
      <c r="A47">
        <v>25</v>
      </c>
      <c r="C47" s="82" t="s">
        <v>389</v>
      </c>
      <c r="D47" s="41" t="s">
        <v>390</v>
      </c>
      <c r="E47" s="183">
        <v>10000</v>
      </c>
      <c r="F47" s="41" t="s">
        <v>24</v>
      </c>
      <c r="G47" s="200" t="s">
        <v>316</v>
      </c>
      <c r="H47" s="41" t="s">
        <v>391</v>
      </c>
      <c r="I47">
        <v>26</v>
      </c>
      <c r="L47" s="222"/>
    </row>
    <row r="48" spans="1:12" ht="12.75">
      <c r="A48">
        <v>26</v>
      </c>
      <c r="C48" s="82" t="s">
        <v>403</v>
      </c>
      <c r="D48" s="41" t="s">
        <v>405</v>
      </c>
      <c r="E48" s="82">
        <f>13580+16127</f>
        <v>29707</v>
      </c>
      <c r="F48" s="41" t="s">
        <v>91</v>
      </c>
      <c r="G48" s="200" t="s">
        <v>316</v>
      </c>
      <c r="H48" s="41" t="s">
        <v>404</v>
      </c>
      <c r="I48">
        <v>27</v>
      </c>
      <c r="L48" s="222"/>
    </row>
    <row r="49" spans="1:12" ht="12.75">
      <c r="A49">
        <v>28</v>
      </c>
      <c r="B49" t="s">
        <v>409</v>
      </c>
      <c r="C49" s="82" t="s">
        <v>414</v>
      </c>
      <c r="D49" s="41" t="s">
        <v>407</v>
      </c>
      <c r="E49" s="82">
        <f>6030+24820</f>
        <v>30850</v>
      </c>
      <c r="F49" s="41" t="s">
        <v>91</v>
      </c>
      <c r="G49" s="200" t="s">
        <v>316</v>
      </c>
      <c r="H49" s="41" t="s">
        <v>408</v>
      </c>
      <c r="I49">
        <v>28</v>
      </c>
      <c r="L49" s="222"/>
    </row>
    <row r="50" spans="1:12" ht="12.75">
      <c r="A50">
        <v>29</v>
      </c>
      <c r="C50" s="82" t="s">
        <v>411</v>
      </c>
      <c r="D50" s="41" t="s">
        <v>412</v>
      </c>
      <c r="E50" s="82">
        <v>19160</v>
      </c>
      <c r="F50" s="41" t="s">
        <v>91</v>
      </c>
      <c r="G50" s="200"/>
      <c r="H50" s="41" t="s">
        <v>413</v>
      </c>
      <c r="I50">
        <v>29</v>
      </c>
      <c r="L50" s="222"/>
    </row>
    <row r="51" spans="1:12" ht="12.75">
      <c r="A51">
        <v>30</v>
      </c>
      <c r="C51" s="82" t="s">
        <v>417</v>
      </c>
      <c r="D51" s="41" t="s">
        <v>418</v>
      </c>
      <c r="E51" s="82">
        <v>25470</v>
      </c>
      <c r="F51" s="41" t="s">
        <v>91</v>
      </c>
      <c r="G51" s="200"/>
      <c r="H51" s="41" t="s">
        <v>419</v>
      </c>
      <c r="I51">
        <v>30</v>
      </c>
      <c r="L51" s="222"/>
    </row>
    <row r="52" spans="3:12" ht="12.75">
      <c r="C52" s="82" t="s">
        <v>428</v>
      </c>
      <c r="D52" s="41" t="s">
        <v>429</v>
      </c>
      <c r="E52" s="82">
        <v>20000</v>
      </c>
      <c r="F52" s="41" t="s">
        <v>434</v>
      </c>
      <c r="G52" s="200"/>
      <c r="H52" s="41" t="s">
        <v>430</v>
      </c>
      <c r="I52">
        <v>32</v>
      </c>
      <c r="L52" s="222"/>
    </row>
    <row r="53" spans="3:12" ht="12.75">
      <c r="C53" s="82" t="s">
        <v>431</v>
      </c>
      <c r="D53" s="41" t="s">
        <v>432</v>
      </c>
      <c r="E53" s="82">
        <v>27450</v>
      </c>
      <c r="F53" s="41" t="s">
        <v>434</v>
      </c>
      <c r="G53" s="200"/>
      <c r="H53" s="41" t="s">
        <v>433</v>
      </c>
      <c r="I53">
        <v>33</v>
      </c>
      <c r="L53" s="222"/>
    </row>
    <row r="54" spans="3:12" ht="12.75">
      <c r="C54" s="82" t="s">
        <v>435</v>
      </c>
      <c r="D54" s="41" t="s">
        <v>437</v>
      </c>
      <c r="E54" s="82">
        <v>20360</v>
      </c>
      <c r="F54" s="41" t="s">
        <v>91</v>
      </c>
      <c r="G54" s="200"/>
      <c r="H54" s="41" t="s">
        <v>436</v>
      </c>
      <c r="I54">
        <v>34</v>
      </c>
      <c r="L54" s="222"/>
    </row>
    <row r="55" spans="3:12" ht="12.75">
      <c r="C55" s="82" t="s">
        <v>438</v>
      </c>
      <c r="D55" s="41" t="s">
        <v>440</v>
      </c>
      <c r="E55" s="82">
        <f>8237+14916</f>
        <v>23153</v>
      </c>
      <c r="F55" s="41" t="s">
        <v>434</v>
      </c>
      <c r="G55" s="200"/>
      <c r="H55" s="41" t="s">
        <v>439</v>
      </c>
      <c r="L55" s="222"/>
    </row>
    <row r="56" spans="3:12" ht="12.75">
      <c r="C56" s="82" t="s">
        <v>480</v>
      </c>
      <c r="D56" s="41" t="s">
        <v>439</v>
      </c>
      <c r="E56" s="82">
        <f>5488+14000</f>
        <v>19488</v>
      </c>
      <c r="F56" s="41" t="s">
        <v>434</v>
      </c>
      <c r="G56" s="200"/>
      <c r="H56" s="41" t="s">
        <v>481</v>
      </c>
      <c r="L56" s="222"/>
    </row>
    <row r="57" spans="1:12" ht="12.75">
      <c r="A57" t="s">
        <v>489</v>
      </c>
      <c r="C57" s="82" t="s">
        <v>482</v>
      </c>
      <c r="D57" s="41" t="s">
        <v>483</v>
      </c>
      <c r="E57" s="82">
        <f>11000+19400</f>
        <v>30400</v>
      </c>
      <c r="F57" s="41" t="s">
        <v>434</v>
      </c>
      <c r="G57" s="200"/>
      <c r="H57" s="41" t="s">
        <v>484</v>
      </c>
      <c r="L57" s="222"/>
    </row>
    <row r="58" spans="1:12" ht="12.75">
      <c r="A58" t="s">
        <v>488</v>
      </c>
      <c r="C58" s="82" t="s">
        <v>485</v>
      </c>
      <c r="D58" s="41" t="s">
        <v>487</v>
      </c>
      <c r="E58" s="82">
        <f>10000+15490</f>
        <v>25490</v>
      </c>
      <c r="F58" s="41" t="s">
        <v>91</v>
      </c>
      <c r="G58" s="200"/>
      <c r="H58" s="41" t="s">
        <v>486</v>
      </c>
      <c r="L58" s="222"/>
    </row>
    <row r="59" spans="3:12" ht="12.75">
      <c r="C59" s="107" t="s">
        <v>267</v>
      </c>
      <c r="D59" s="107"/>
      <c r="E59" s="107">
        <f>SUM(E14:E58)</f>
        <v>714513</v>
      </c>
      <c r="F59" s="41" t="s">
        <v>24</v>
      </c>
      <c r="G59" s="82"/>
      <c r="H59" s="41">
        <v>26.06</v>
      </c>
      <c r="I59">
        <v>26</v>
      </c>
      <c r="J59" s="206">
        <f>E59/183</f>
        <v>3904.44262295082</v>
      </c>
      <c r="L59" s="222">
        <f>SUM(E37:E44)</f>
        <v>107070</v>
      </c>
    </row>
    <row r="60" spans="3:8" ht="12.75">
      <c r="C60" s="180"/>
      <c r="D60" s="180"/>
      <c r="E60" s="180"/>
      <c r="F60" s="41"/>
      <c r="G60" s="82"/>
      <c r="H60" s="41"/>
    </row>
    <row r="61" spans="3:12" s="15" customFormat="1" ht="12.75">
      <c r="C61" s="180"/>
      <c r="D61" s="180"/>
      <c r="E61" s="180"/>
      <c r="F61" s="82"/>
      <c r="G61" s="82"/>
      <c r="H61" s="82"/>
      <c r="L61" s="200" t="s">
        <v>316</v>
      </c>
    </row>
    <row r="62" spans="3:12" ht="12.75">
      <c r="C62" s="174" t="s">
        <v>288</v>
      </c>
      <c r="D62" s="174"/>
      <c r="E62" s="180">
        <v>347244</v>
      </c>
      <c r="F62" s="41" t="s">
        <v>24</v>
      </c>
      <c r="G62" s="178" t="s">
        <v>287</v>
      </c>
      <c r="H62" s="41"/>
      <c r="J62" s="191">
        <f>E62/183</f>
        <v>1897.5081967213114</v>
      </c>
      <c r="L62" s="183">
        <v>15250</v>
      </c>
    </row>
    <row r="63" spans="3:12" ht="12.75">
      <c r="C63" s="174" t="s">
        <v>288</v>
      </c>
      <c r="D63" s="174" t="s">
        <v>274</v>
      </c>
      <c r="E63" s="174">
        <v>169859</v>
      </c>
      <c r="F63" s="41" t="s">
        <v>289</v>
      </c>
      <c r="G63" s="82"/>
      <c r="H63" s="82"/>
      <c r="J63" s="191">
        <f>E63/183</f>
        <v>928.1912568306011</v>
      </c>
      <c r="L63" s="183">
        <v>9660</v>
      </c>
    </row>
    <row r="64" spans="3:12" ht="12.75">
      <c r="C64" s="174" t="s">
        <v>288</v>
      </c>
      <c r="D64" s="174"/>
      <c r="E64" s="201">
        <f>346854+9660+15250+12400+12600+13500+12000+10000</f>
        <v>432264</v>
      </c>
      <c r="F64" s="41" t="s">
        <v>289</v>
      </c>
      <c r="G64" s="178" t="s">
        <v>317</v>
      </c>
      <c r="H64" s="82"/>
      <c r="J64" s="192">
        <f>E64/183</f>
        <v>2362.098360655738</v>
      </c>
      <c r="L64" s="183">
        <v>12400</v>
      </c>
    </row>
    <row r="65" spans="3:12" s="15" customFormat="1" ht="12.75">
      <c r="C65" s="180"/>
      <c r="D65" s="180"/>
      <c r="E65" s="180"/>
      <c r="F65" s="82"/>
      <c r="G65" s="82"/>
      <c r="H65" s="82"/>
      <c r="L65" s="183">
        <v>12600</v>
      </c>
    </row>
    <row r="66" spans="3:12" ht="12.75">
      <c r="C66" s="175" t="s">
        <v>135</v>
      </c>
      <c r="D66" s="175"/>
      <c r="E66" s="175"/>
      <c r="F66" s="175"/>
      <c r="G66" s="175"/>
      <c r="H66" s="175"/>
      <c r="L66" s="183">
        <v>13500</v>
      </c>
    </row>
    <row r="67" spans="3:12" ht="12.75">
      <c r="C67" s="41"/>
      <c r="D67" s="41" t="s">
        <v>137</v>
      </c>
      <c r="E67" s="41">
        <v>948</v>
      </c>
      <c r="F67" s="41" t="s">
        <v>91</v>
      </c>
      <c r="G67" s="82">
        <v>941</v>
      </c>
      <c r="H67" s="41" t="s">
        <v>106</v>
      </c>
      <c r="L67" s="183">
        <v>12000</v>
      </c>
    </row>
    <row r="68" spans="3:8" ht="12.75">
      <c r="C68" s="41"/>
      <c r="D68" s="41"/>
      <c r="E68" s="41"/>
      <c r="F68" s="41"/>
      <c r="G68" s="41"/>
      <c r="H68" s="41"/>
    </row>
    <row r="69" spans="3:8" ht="12.75">
      <c r="C69" s="175" t="s">
        <v>136</v>
      </c>
      <c r="D69" s="175"/>
      <c r="E69" s="175"/>
      <c r="F69" s="175"/>
      <c r="G69" s="175"/>
      <c r="H69" s="175"/>
    </row>
    <row r="70" spans="3:8" ht="12.75">
      <c r="C70" s="41"/>
      <c r="D70" s="41" t="s">
        <v>139</v>
      </c>
      <c r="E70" s="41">
        <v>300</v>
      </c>
      <c r="F70" s="41"/>
      <c r="G70" s="41">
        <v>305</v>
      </c>
      <c r="H70" s="41"/>
    </row>
    <row r="71" spans="3:8" ht="12.75">
      <c r="C71" s="41"/>
      <c r="D71" s="41"/>
      <c r="E71" s="41"/>
      <c r="F71" s="41"/>
      <c r="G71" s="41">
        <v>93</v>
      </c>
      <c r="H71" s="41"/>
    </row>
    <row r="72" spans="3:8" ht="12.75">
      <c r="C72" s="41"/>
      <c r="D72" s="41"/>
      <c r="E72" s="41"/>
      <c r="F72" s="41"/>
      <c r="G72" s="41"/>
      <c r="H72" s="41"/>
    </row>
    <row r="73" spans="3:8" ht="12.75">
      <c r="C73" s="41"/>
      <c r="D73" s="41"/>
      <c r="E73" s="41"/>
      <c r="F73" s="41"/>
      <c r="G73" s="41"/>
      <c r="H73" s="41"/>
    </row>
    <row r="74" spans="3:13" ht="12.75">
      <c r="C74" s="41"/>
      <c r="D74" s="41" t="s">
        <v>138</v>
      </c>
      <c r="E74" s="41">
        <v>606</v>
      </c>
      <c r="F74" s="41" t="s">
        <v>91</v>
      </c>
      <c r="G74" s="82"/>
      <c r="H74" s="41"/>
      <c r="M74">
        <v>26200</v>
      </c>
    </row>
    <row r="75" spans="3:13" ht="12.75">
      <c r="C75" s="41" t="s">
        <v>143</v>
      </c>
      <c r="D75" s="41" t="s">
        <v>128</v>
      </c>
      <c r="E75" s="41">
        <v>10550</v>
      </c>
      <c r="F75" s="41" t="s">
        <v>91</v>
      </c>
      <c r="G75" s="82"/>
      <c r="H75" s="41"/>
      <c r="M75">
        <v>-11150</v>
      </c>
    </row>
    <row r="76" spans="1:13" ht="12.75">
      <c r="A76">
        <v>28</v>
      </c>
      <c r="B76" t="s">
        <v>409</v>
      </c>
      <c r="C76" s="82" t="s">
        <v>406</v>
      </c>
      <c r="D76" s="41" t="s">
        <v>407</v>
      </c>
      <c r="E76" s="82">
        <v>4980</v>
      </c>
      <c r="F76" s="41" t="s">
        <v>91</v>
      </c>
      <c r="G76" s="200" t="s">
        <v>316</v>
      </c>
      <c r="H76" s="41" t="s">
        <v>408</v>
      </c>
      <c r="M76" s="82">
        <v>-4980</v>
      </c>
    </row>
    <row r="77" spans="3:13" ht="12.75">
      <c r="C77" s="82" t="s">
        <v>411</v>
      </c>
      <c r="D77" s="41" t="s">
        <v>412</v>
      </c>
      <c r="E77" s="82">
        <v>8390</v>
      </c>
      <c r="F77" s="41" t="s">
        <v>91</v>
      </c>
      <c r="G77" s="200"/>
      <c r="H77" s="41" t="s">
        <v>413</v>
      </c>
      <c r="M77" s="82">
        <v>-8390</v>
      </c>
    </row>
    <row r="78" spans="3:13" ht="12.75">
      <c r="C78" s="82" t="s">
        <v>420</v>
      </c>
      <c r="D78" s="41" t="s">
        <v>418</v>
      </c>
      <c r="E78" s="82">
        <v>2400</v>
      </c>
      <c r="F78" s="41" t="s">
        <v>91</v>
      </c>
      <c r="G78" s="200"/>
      <c r="H78" s="41" t="s">
        <v>419</v>
      </c>
      <c r="M78" s="9"/>
    </row>
    <row r="79" spans="3:8" ht="12.75">
      <c r="C79" s="81" t="s">
        <v>410</v>
      </c>
      <c r="D79" s="81"/>
      <c r="E79" s="81">
        <f>SUM(E70:E78)</f>
        <v>27226</v>
      </c>
      <c r="F79" s="41"/>
      <c r="G79" s="41"/>
      <c r="H79" s="41"/>
    </row>
    <row r="80" spans="3:8" ht="12.75">
      <c r="C80" s="82"/>
      <c r="D80" s="82"/>
      <c r="E80" s="82"/>
      <c r="F80" s="41"/>
      <c r="G80" s="41"/>
      <c r="H80" s="41"/>
    </row>
    <row r="81" spans="3:10" ht="12.75">
      <c r="C81" s="174" t="s">
        <v>288</v>
      </c>
      <c r="D81" s="174"/>
      <c r="E81" s="174">
        <v>10625</v>
      </c>
      <c r="F81" s="41" t="s">
        <v>24</v>
      </c>
      <c r="G81" s="82"/>
      <c r="H81" s="41"/>
      <c r="J81" s="191">
        <f>E81/6</f>
        <v>1770.8333333333333</v>
      </c>
    </row>
    <row r="82" spans="3:10" ht="12.75">
      <c r="C82" s="174" t="s">
        <v>288</v>
      </c>
      <c r="D82" s="174"/>
      <c r="E82" s="174">
        <v>10604</v>
      </c>
      <c r="F82" s="41" t="s">
        <v>289</v>
      </c>
      <c r="G82" s="82"/>
      <c r="H82" s="41"/>
      <c r="J82" s="192">
        <f>E82/6</f>
        <v>1767.3333333333333</v>
      </c>
    </row>
    <row r="83" spans="3:8" ht="12.75">
      <c r="C83" s="41"/>
      <c r="D83" s="41"/>
      <c r="E83" s="41"/>
      <c r="F83" s="41"/>
      <c r="G83" s="41"/>
      <c r="H83" s="41"/>
    </row>
    <row r="84" spans="3:8" ht="12.75">
      <c r="C84" s="41"/>
      <c r="D84" s="41"/>
      <c r="E84" s="41"/>
      <c r="F84" s="41"/>
      <c r="G84" s="41"/>
      <c r="H84" s="41"/>
    </row>
    <row r="85" spans="3:8" ht="12.75">
      <c r="C85" s="41"/>
      <c r="D85" s="41"/>
      <c r="E85" s="41"/>
      <c r="F85" s="41"/>
      <c r="G85" s="41"/>
      <c r="H85" s="41"/>
    </row>
    <row r="86" spans="3:8" ht="12.75">
      <c r="C86" s="41"/>
      <c r="D86" s="41"/>
      <c r="E86" s="41"/>
      <c r="F86" s="41"/>
      <c r="G86" s="41"/>
      <c r="H86" s="4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eholzer</cp:lastModifiedBy>
  <cp:lastPrinted>2006-09-07T13:24:52Z</cp:lastPrinted>
  <dcterms:created xsi:type="dcterms:W3CDTF">2005-04-30T08:59:53Z</dcterms:created>
  <dcterms:modified xsi:type="dcterms:W3CDTF">2006-09-26T15:14:50Z</dcterms:modified>
  <cp:category/>
  <cp:version/>
  <cp:contentType/>
  <cp:contentStatus/>
</cp:coreProperties>
</file>