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860" windowWidth="19200" windowHeight="1203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0">'BLM chambers '!$A$1:$AL$68</definedName>
    <definedName name="_xlnm.Print_Area" localSheetId="1">'Tighteners'!$X$17</definedName>
    <definedName name="Z_1E92D746_8DA4_46FE_A015_5B53E5097C4F_.wvu.PrintArea" localSheetId="1" hidden="1">'Tighteners'!$A$1:$AK$80</definedName>
    <definedName name="Z_63DF7B8E_55FC_4540_9521_9B1B7D3BF258_.wvu.PrintArea" localSheetId="0" hidden="1">'BLM chambers '!$A$1:$AK$50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F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F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F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J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AC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</commentList>
</comments>
</file>

<file path=xl/sharedStrings.xml><?xml version="1.0" encoding="utf-8"?>
<sst xmlns="http://schemas.openxmlformats.org/spreadsheetml/2006/main" count="713" uniqueCount="377">
  <si>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</si>
  <si>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</si>
  <si>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</si>
  <si>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</si>
  <si>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</si>
  <si>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</si>
  <si>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</si>
  <si>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</si>
  <si>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</si>
  <si>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</si>
  <si>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</si>
  <si>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</si>
  <si>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</si>
  <si>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</si>
  <si>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</si>
  <si>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</si>
  <si>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</si>
  <si>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</si>
  <si>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</si>
  <si>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</si>
  <si>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</si>
  <si>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</si>
  <si>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</si>
  <si>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</si>
  <si>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</si>
  <si>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</si>
  <si>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</si>
  <si>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</si>
  <si>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</si>
  <si>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</si>
  <si>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</si>
  <si>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</si>
  <si>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</si>
  <si>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</si>
  <si>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</si>
  <si>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</si>
  <si>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</si>
  <si>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</si>
  <si>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</si>
  <si>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</si>
  <si>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</si>
  <si>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</si>
  <si>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</si>
  <si>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</si>
  <si>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</si>
  <si>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</si>
  <si>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</si>
  <si>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</si>
  <si>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</si>
  <si>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</si>
  <si>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</si>
  <si>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</si>
  <si>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</si>
  <si>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</si>
  <si>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</si>
  <si>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</si>
  <si>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</si>
  <si>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</si>
  <si>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</si>
  <si>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</si>
  <si>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</si>
  <si>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</si>
  <si>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</si>
  <si>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</si>
  <si>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</si>
  <si>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</si>
  <si>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</si>
  <si>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</si>
  <si>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</si>
  <si>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</si>
  <si>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</si>
  <si>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</si>
  <si>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</si>
  <si>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</si>
  <si>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</si>
  <si>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</si>
  <si>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</si>
  <si>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</si>
  <si>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</si>
  <si>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</si>
  <si>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</si>
  <si>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</si>
  <si>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</si>
  <si>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</si>
  <si>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</si>
  <si>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</si>
  <si>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</si>
  <si>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</si>
  <si>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</si>
  <si>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</si>
  <si>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</si>
  <si>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</si>
  <si>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</si>
  <si>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</si>
  <si>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</si>
  <si>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</si>
  <si>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</si>
  <si>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</si>
  <si>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</si>
  <si>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</si>
  <si>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</si>
  <si>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</si>
  <si>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</si>
  <si>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</si>
  <si>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</si>
  <si>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</si>
  <si>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</si>
  <si>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</si>
  <si>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</si>
  <si>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</si>
  <si>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</si>
  <si>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</si>
  <si>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</si>
  <si>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</si>
  <si>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</si>
  <si>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</si>
  <si>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</si>
  <si>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</si>
  <si>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</si>
  <si>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</si>
  <si>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</si>
  <si>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</si>
  <si>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</si>
  <si>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</si>
  <si>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</si>
  <si>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</si>
  <si>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</si>
  <si>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</si>
  <si>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</si>
  <si>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</si>
  <si>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</si>
  <si>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</si>
  <si>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</si>
  <si>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</si>
  <si>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</si>
  <si>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</si>
  <si>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</si>
  <si>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</si>
  <si>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</si>
  <si>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</si>
  <si>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</si>
  <si>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</si>
  <si>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</si>
  <si>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</si>
  <si>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</si>
  <si>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</si>
  <si>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</si>
  <si>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</si>
  <si>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</si>
  <si>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</si>
  <si>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</si>
  <si>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</si>
  <si>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</si>
  <si>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</si>
  <si>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</si>
  <si>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</si>
  <si>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</si>
  <si>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</si>
  <si>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</si>
  <si>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</si>
  <si>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</si>
  <si>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</si>
  <si>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</si>
  <si>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</si>
  <si>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</si>
  <si>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</si>
  <si>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</si>
  <si>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</si>
  <si>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</si>
  <si>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</si>
  <si>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</si>
  <si>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</si>
  <si>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</si>
  <si>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</si>
  <si>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</si>
  <si>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</si>
  <si>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</si>
  <si>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</si>
  <si>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</si>
  <si>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</si>
  <si>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</si>
  <si>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</si>
  <si>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</si>
  <si>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</si>
  <si>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</si>
  <si>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</si>
  <si>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</si>
  <si>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</si>
  <si>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</si>
  <si>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</si>
  <si>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</si>
  <si>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</si>
  <si>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</si>
  <si>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</si>
  <si>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</si>
  <si>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</si>
  <si>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</si>
  <si>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</si>
  <si>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</si>
  <si>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</si>
  <si>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</si>
  <si>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</si>
  <si>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</si>
  <si>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</si>
  <si>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</si>
  <si>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</si>
  <si>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</si>
  <si>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</si>
  <si>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</si>
  <si>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</si>
  <si>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</si>
  <si>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</si>
  <si>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</si>
  <si>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</si>
  <si>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</si>
  <si>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</si>
  <si>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</si>
  <si>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</si>
  <si>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</si>
  <si>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</si>
  <si>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</si>
  <si>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</si>
  <si>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</si>
  <si>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</si>
  <si>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</si>
  <si>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</si>
  <si>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</si>
  <si>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</si>
  <si>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</si>
  <si>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</si>
  <si>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</si>
  <si>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</si>
  <si>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</si>
  <si>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</si>
  <si>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</si>
  <si>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</si>
  <si>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</si>
  <si>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</si>
  <si>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</si>
  <si>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</si>
  <si>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</si>
  <si>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</si>
  <si>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</si>
  <si>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</si>
  <si>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</si>
  <si>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</si>
  <si>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</si>
  <si>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</si>
  <si>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</si>
  <si>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</si>
  <si>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</si>
  <si>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</si>
  <si>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</si>
  <si>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</si>
  <si>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</si>
  <si>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</si>
  <si>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</si>
  <si>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</si>
  <si>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</si>
  <si>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</si>
  <si>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</si>
  <si>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</si>
  <si>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</si>
  <si>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</si>
  <si>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</si>
  <si>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</si>
  <si>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</si>
  <si>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</si>
  <si>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</si>
  <si>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</si>
  <si>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</si>
  <si>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</si>
  <si>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</si>
  <si>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</si>
  <si>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</si>
  <si>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</si>
  <si>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</si>
  <si>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</si>
  <si>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</si>
  <si>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</si>
  <si>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</si>
  <si>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</si>
  <si>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</si>
  <si>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</si>
  <si>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</si>
  <si>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</si>
  <si>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</si>
  <si>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</si>
  <si>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</si>
  <si>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</si>
  <si>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</si>
  <si>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</si>
  <si>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</si>
  <si>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</si>
  <si>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</si>
  <si>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</si>
  <si>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</si>
  <si>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</si>
  <si>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</si>
  <si>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</si>
  <si>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</si>
  <si>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</si>
  <si>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</si>
  <si>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</si>
  <si>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</si>
  <si>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</si>
  <si>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</si>
  <si>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</si>
  <si>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</si>
  <si>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</si>
  <si>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</si>
  <si>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</si>
  <si>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</si>
  <si>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</si>
  <si>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</si>
  <si>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</si>
  <si>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</si>
  <si>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</si>
  <si>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</si>
  <si>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</si>
  <si>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</si>
  <si>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</si>
  <si>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</si>
  <si>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</si>
  <si>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</si>
  <si>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</si>
  <si>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</si>
  <si>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</si>
  <si>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</si>
  <si>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</si>
  <si>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</si>
  <si>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</si>
  <si>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</si>
  <si>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</si>
  <si>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</si>
  <si>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</si>
  <si>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</si>
  <si>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</si>
  <si>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</si>
  <si>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</si>
  <si>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</si>
  <si>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</si>
  <si>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</si>
  <si>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</si>
  <si>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</si>
  <si>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</si>
  <si>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</si>
  <si>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</si>
  <si>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</si>
  <si>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</si>
  <si>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</si>
  <si>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</si>
  <si>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</si>
  <si>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</si>
  <si>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</si>
  <si>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</si>
  <si>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</si>
  <si>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</si>
  <si>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</si>
  <si>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lost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</si>
  <si>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</si>
  <si>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</si>
  <si>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</si>
  <si>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</si>
  <si>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</si>
  <si>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</si>
  <si>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check!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</si>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</sst>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" fontId="12" fillId="10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92" fontId="0" fillId="5" borderId="2" xfId="0" applyNumberFormat="1" applyFont="1" applyFill="1" applyBorder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33"/>
  <sheetViews>
    <sheetView tabSelected="1" zoomScale="75" zoomScaleNormal="75" workbookViewId="0" topLeftCell="A13">
      <pane xSplit="1" topLeftCell="T1" activePane="topRight" state="frozen"/>
      <selection pane="topLeft" activeCell="A1" sqref="A1"/>
      <selection pane="topRight" activeCell="Z48" sqref="Z48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0" width="11.57421875" style="0" customWidth="1"/>
    <col min="31" max="31" width="9.28125" style="0" customWidth="1"/>
    <col min="32" max="33" width="13.57421875" style="0" customWidth="1"/>
    <col min="34" max="34" width="9.421875" style="0" customWidth="1"/>
    <col min="35" max="35" width="11.421875" style="0" customWidth="1"/>
  </cols>
  <sheetData>
    <row r="1" spans="1:34" ht="56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10" t="s">
        <v>342</v>
      </c>
      <c r="K1" s="154" t="s">
        <v>337</v>
      </c>
      <c r="L1" s="189" t="s">
        <v>4</v>
      </c>
      <c r="M1" s="33" t="s">
        <v>29</v>
      </c>
      <c r="N1" s="38" t="s">
        <v>123</v>
      </c>
      <c r="O1" s="187" t="s">
        <v>338</v>
      </c>
      <c r="P1" s="33" t="s">
        <v>30</v>
      </c>
      <c r="Q1" s="156" t="s">
        <v>339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246</v>
      </c>
      <c r="Z1" s="165" t="s">
        <v>361</v>
      </c>
      <c r="AA1" s="218" t="s">
        <v>363</v>
      </c>
      <c r="AB1" s="166" t="s">
        <v>117</v>
      </c>
      <c r="AC1" s="219" t="s">
        <v>370</v>
      </c>
      <c r="AD1" s="166" t="s">
        <v>364</v>
      </c>
      <c r="AE1" s="166" t="s">
        <v>262</v>
      </c>
      <c r="AF1" s="165" t="s">
        <v>362</v>
      </c>
      <c r="AG1" s="211" t="s">
        <v>345</v>
      </c>
      <c r="AH1" s="211" t="s">
        <v>360</v>
      </c>
    </row>
    <row r="2" spans="1:34" ht="12.75">
      <c r="A2" s="41" t="s">
        <v>352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2" t="s">
        <v>369</v>
      </c>
      <c r="AA2" s="52"/>
      <c r="AB2" s="53"/>
      <c r="AC2" s="222" t="s">
        <v>368</v>
      </c>
      <c r="AD2" s="53" t="s">
        <v>41</v>
      </c>
      <c r="AE2" s="222" t="s">
        <v>368</v>
      </c>
      <c r="AF2" s="88"/>
      <c r="AG2" s="88"/>
      <c r="AH2" s="88"/>
    </row>
    <row r="3" spans="1:34" ht="12.75">
      <c r="A3" s="170" t="s">
        <v>330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225" t="s">
        <v>371</v>
      </c>
      <c r="AF3" s="52"/>
      <c r="AG3" s="52"/>
      <c r="AH3" s="52"/>
    </row>
    <row r="4" spans="1:34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5">
        <f>I4</f>
        <v>4690</v>
      </c>
      <c r="K4" s="205">
        <f>E4+F4</f>
        <v>4305</v>
      </c>
      <c r="L4" s="7"/>
      <c r="M4" s="56"/>
      <c r="N4" s="52"/>
      <c r="O4" s="52"/>
      <c r="P4" s="188"/>
      <c r="Q4" s="52" t="s">
        <v>274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155">
        <v>4020</v>
      </c>
      <c r="AG4" s="155"/>
      <c r="AH4" s="155"/>
    </row>
    <row r="5" spans="1:34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73"/>
      <c r="AG5" s="73"/>
      <c r="AH5" s="73"/>
    </row>
    <row r="6" spans="1:34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315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Z6+AC6+AE6</f>
        <v>3773</v>
      </c>
      <c r="AB6" s="147">
        <f>Y6-K6</f>
        <v>-532</v>
      </c>
      <c r="AC6" s="91">
        <v>0</v>
      </c>
      <c r="AD6" s="147">
        <f>AC6+AB6</f>
        <v>-532</v>
      </c>
      <c r="AE6" s="203"/>
      <c r="AF6" s="173">
        <f>Y6/D6+AE6</f>
        <v>3773</v>
      </c>
      <c r="AG6" s="88">
        <f>J6-(AA6*D6)</f>
        <v>532</v>
      </c>
      <c r="AH6" s="88"/>
    </row>
    <row r="7" spans="1:37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173">
        <f>Y7/D7+AE7</f>
        <v>0</v>
      </c>
      <c r="AG7" s="88">
        <f aca="true" t="shared" si="3" ref="AG7:AG18">J7-(AA7*D7)</f>
        <v>385</v>
      </c>
      <c r="AH7" s="88"/>
      <c r="AI7"/>
      <c r="AJ7"/>
      <c r="AK7"/>
    </row>
    <row r="8" spans="1:34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321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>
        <v>3818</v>
      </c>
      <c r="AA8" s="162"/>
      <c r="AB8" s="147">
        <f>Y8-K8</f>
        <v>-487</v>
      </c>
      <c r="AC8" s="91">
        <v>0</v>
      </c>
      <c r="AD8" s="147">
        <f>AC8+AB8</f>
        <v>-487</v>
      </c>
      <c r="AE8" s="203"/>
      <c r="AF8" s="173">
        <f>Y8/D8+AE8</f>
        <v>3818</v>
      </c>
      <c r="AG8" s="173">
        <f t="shared" si="3"/>
        <v>4690</v>
      </c>
      <c r="AH8" s="173" t="s">
        <v>350</v>
      </c>
    </row>
    <row r="9" spans="1:34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7291</v>
      </c>
      <c r="Q9" s="51" t="s">
        <v>318</v>
      </c>
      <c r="R9" s="171">
        <f t="shared" si="0"/>
        <v>-1319</v>
      </c>
      <c r="S9" s="50"/>
      <c r="T9" s="50" t="s">
        <v>24</v>
      </c>
      <c r="U9" s="93"/>
      <c r="V9" s="157" t="s">
        <v>229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/>
      <c r="AB9" s="147">
        <f>Y9-K9</f>
        <v>-3284</v>
      </c>
      <c r="AC9" s="91">
        <v>1389</v>
      </c>
      <c r="AD9" s="147">
        <f>AC9+AB9</f>
        <v>-1895</v>
      </c>
      <c r="AE9" s="91">
        <f>AC9/D9</f>
        <v>694.5</v>
      </c>
      <c r="AF9" s="173">
        <f>Y9/D9+AE9</f>
        <v>3357.5</v>
      </c>
      <c r="AG9" s="173">
        <f t="shared" si="3"/>
        <v>8610</v>
      </c>
      <c r="AH9" s="173" t="s">
        <v>351</v>
      </c>
    </row>
    <row r="10" spans="1:37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88">
        <f aca="true" t="shared" si="4" ref="AF10:AF18">Y10/D10+AE10</f>
        <v>0</v>
      </c>
      <c r="AG10" s="88" t="e">
        <f t="shared" si="3"/>
        <v>#VALUE!</v>
      </c>
      <c r="AH10" s="88"/>
      <c r="AI10"/>
      <c r="AJ10"/>
      <c r="AK10"/>
    </row>
    <row r="11" spans="1:34" ht="12.75">
      <c r="A11" s="81" t="s">
        <v>150</v>
      </c>
      <c r="B11" s="59" t="s">
        <v>57</v>
      </c>
      <c r="C11" s="59" t="s">
        <v>241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306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233</v>
      </c>
      <c r="W11" s="157" t="s">
        <v>306</v>
      </c>
      <c r="X11" s="163">
        <v>0</v>
      </c>
      <c r="Y11" s="162">
        <f>V11+W11+X11</f>
        <v>207126</v>
      </c>
      <c r="Z11" s="162">
        <v>207000</v>
      </c>
      <c r="AA11" s="162"/>
      <c r="AB11" s="147">
        <f>Y11-K11</f>
        <v>-55479</v>
      </c>
      <c r="AC11" s="91">
        <v>0</v>
      </c>
      <c r="AD11" s="147">
        <f>AC11+AB11</f>
        <v>-55479</v>
      </c>
      <c r="AE11" s="203"/>
      <c r="AF11" s="173">
        <f t="shared" si="4"/>
        <v>3395.5081967213114</v>
      </c>
      <c r="AG11" s="173">
        <f t="shared" si="3"/>
        <v>262605</v>
      </c>
      <c r="AH11" s="173"/>
    </row>
    <row r="12" spans="1:37" s="15" customFormat="1" ht="12.75">
      <c r="A12" s="82" t="s">
        <v>343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88">
        <f t="shared" si="4"/>
        <v>0</v>
      </c>
      <c r="AG12" s="88">
        <f t="shared" si="3"/>
        <v>770</v>
      </c>
      <c r="AH12" s="88"/>
      <c r="AI12"/>
      <c r="AJ12"/>
      <c r="AK12"/>
    </row>
    <row r="13" spans="1:34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456560</v>
      </c>
      <c r="Q13" s="51" t="s">
        <v>312</v>
      </c>
      <c r="R13" s="171">
        <f t="shared" si="0"/>
        <v>-334720</v>
      </c>
      <c r="S13" s="140" t="s">
        <v>31</v>
      </c>
      <c r="T13" s="50" t="s">
        <v>125</v>
      </c>
      <c r="U13" s="89" t="s">
        <v>41</v>
      </c>
      <c r="V13" s="157" t="s">
        <v>234</v>
      </c>
      <c r="W13" s="157" t="s">
        <v>372</v>
      </c>
      <c r="X13" s="162">
        <v>1830</v>
      </c>
      <c r="Y13" s="162">
        <f>V13+W13+X13</f>
        <v>357575</v>
      </c>
      <c r="Z13" s="162">
        <v>10604</v>
      </c>
      <c r="AA13" s="162"/>
      <c r="AB13" s="147">
        <f>Y13-K13</f>
        <v>-430240</v>
      </c>
      <c r="AC13" s="91">
        <v>49910</v>
      </c>
      <c r="AD13" s="147">
        <f>AC13+AB13</f>
        <v>-380330</v>
      </c>
      <c r="AE13" s="91">
        <f>AC13/D13</f>
        <v>272.73224043715845</v>
      </c>
      <c r="AF13" s="173">
        <f t="shared" si="4"/>
        <v>2226.6939890710382</v>
      </c>
      <c r="AG13" s="173">
        <f t="shared" si="3"/>
        <v>791280</v>
      </c>
      <c r="AH13" s="173" t="s">
        <v>351</v>
      </c>
    </row>
    <row r="14" spans="1:37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231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88">
        <f t="shared" si="4"/>
        <v>0</v>
      </c>
      <c r="AG14" s="88">
        <f t="shared" si="3"/>
        <v>0</v>
      </c>
      <c r="AH14" s="88"/>
      <c r="AI14"/>
      <c r="AJ14"/>
      <c r="AK14"/>
    </row>
    <row r="15" spans="1:37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231</v>
      </c>
      <c r="H15" s="88" t="s">
        <v>231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88">
        <f t="shared" si="4"/>
        <v>0</v>
      </c>
      <c r="AG15" s="88" t="e">
        <f t="shared" si="3"/>
        <v>#VALUE!</v>
      </c>
      <c r="AH15" s="88"/>
      <c r="AI15"/>
      <c r="AJ15"/>
      <c r="AK15"/>
    </row>
    <row r="16" spans="1:34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313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235</v>
      </c>
      <c r="W16" s="157" t="s">
        <v>167</v>
      </c>
      <c r="X16" s="162">
        <v>60</v>
      </c>
      <c r="Y16" s="162">
        <f>V16+W16+X16</f>
        <v>10625</v>
      </c>
      <c r="Z16" s="162">
        <v>10604</v>
      </c>
      <c r="AA16" s="162"/>
      <c r="AB16" s="147">
        <f>Y16-K16</f>
        <v>-15205</v>
      </c>
      <c r="AC16" s="91">
        <v>0</v>
      </c>
      <c r="AD16" s="147">
        <f>AC16+AB16</f>
        <v>-15205</v>
      </c>
      <c r="AE16" s="203"/>
      <c r="AF16" s="173">
        <f t="shared" si="4"/>
        <v>1770.8333333333333</v>
      </c>
      <c r="AG16" s="173">
        <f t="shared" si="3"/>
        <v>25830</v>
      </c>
      <c r="AH16" s="173" t="s">
        <v>351</v>
      </c>
    </row>
    <row r="17" spans="1:34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309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>
        <v>4429</v>
      </c>
      <c r="AA17" s="162"/>
      <c r="AB17" s="147">
        <f>Y17-K17</f>
        <v>127</v>
      </c>
      <c r="AC17" s="147"/>
      <c r="AD17" s="147"/>
      <c r="AE17" s="91"/>
      <c r="AF17" s="167">
        <f t="shared" si="4"/>
        <v>4432</v>
      </c>
      <c r="AG17" s="167">
        <f t="shared" si="3"/>
        <v>4690</v>
      </c>
      <c r="AH17" s="167"/>
    </row>
    <row r="18" spans="1:34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310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>
        <v>3590</v>
      </c>
      <c r="AA18" s="162"/>
      <c r="AB18" s="147">
        <f>Y18-K18</f>
        <v>-713</v>
      </c>
      <c r="AC18" s="91">
        <v>0</v>
      </c>
      <c r="AD18" s="147">
        <f>AC18+AB18</f>
        <v>-713</v>
      </c>
      <c r="AE18" s="203"/>
      <c r="AF18" s="173">
        <f t="shared" si="4"/>
        <v>3592</v>
      </c>
      <c r="AG18" s="173">
        <f t="shared" si="3"/>
        <v>4305</v>
      </c>
      <c r="AH18" s="173"/>
    </row>
    <row r="19" spans="1:34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104"/>
      <c r="AG19" s="104">
        <f>J19-(AF19*D19)</f>
        <v>0</v>
      </c>
      <c r="AH19" s="104"/>
    </row>
    <row r="20" spans="1:34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6639</v>
      </c>
      <c r="Q20" s="89" t="s">
        <v>257</v>
      </c>
      <c r="R20" s="171" t="e">
        <f>-K20+#REF!*D20</f>
        <v>#REF!</v>
      </c>
      <c r="S20" s="90"/>
      <c r="T20" s="50" t="s">
        <v>24</v>
      </c>
      <c r="U20" s="105"/>
      <c r="V20" s="157" t="s">
        <v>237</v>
      </c>
      <c r="W20" s="162">
        <f>2720+1501+252</f>
        <v>4473</v>
      </c>
      <c r="X20" s="162">
        <v>0</v>
      </c>
      <c r="Y20" s="162">
        <f>V20+W20+X20</f>
        <v>4477</v>
      </c>
      <c r="Z20" s="163">
        <v>2503</v>
      </c>
      <c r="AA20" s="198"/>
      <c r="AB20" s="199">
        <f>Y20-K20</f>
        <v>-4543</v>
      </c>
      <c r="AC20" s="91">
        <v>0</v>
      </c>
      <c r="AD20" s="147">
        <f>AC20+AB20</f>
        <v>-4543</v>
      </c>
      <c r="AE20" s="200">
        <f>AC20/D20</f>
        <v>0</v>
      </c>
      <c r="AF20" s="179">
        <v>2611</v>
      </c>
      <c r="AG20" s="179">
        <f>J20-(AA20*D20)</f>
        <v>9020</v>
      </c>
      <c r="AH20" s="179"/>
    </row>
    <row r="21" spans="1:34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17039</v>
      </c>
      <c r="Q21" s="89" t="s">
        <v>256</v>
      </c>
      <c r="R21" s="171" t="e">
        <f>-K21+#REF!*D21</f>
        <v>#REF!</v>
      </c>
      <c r="S21" s="50"/>
      <c r="T21" s="50" t="s">
        <v>24</v>
      </c>
      <c r="U21" s="51"/>
      <c r="V21" s="157" t="s">
        <v>240</v>
      </c>
      <c r="W21" s="162">
        <f>230+3557+8245</f>
        <v>12032</v>
      </c>
      <c r="X21" s="162">
        <v>4</v>
      </c>
      <c r="Y21" s="162">
        <f>V21+W21+X21</f>
        <v>12044</v>
      </c>
      <c r="Z21" s="163">
        <v>5537</v>
      </c>
      <c r="AA21" s="198"/>
      <c r="AB21" s="199">
        <f>Y21-K21</f>
        <v>-5996</v>
      </c>
      <c r="AC21" s="91">
        <v>0</v>
      </c>
      <c r="AD21" s="147">
        <f>AC21+AB21</f>
        <v>-5996</v>
      </c>
      <c r="AE21" s="200">
        <f>AC21/D21</f>
        <v>0</v>
      </c>
      <c r="AF21" s="179">
        <v>3445</v>
      </c>
      <c r="AG21" s="179">
        <f>J21-(AA21*D21)</f>
        <v>18040</v>
      </c>
      <c r="AH21" s="179"/>
    </row>
    <row r="22" spans="1:34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104"/>
      <c r="AG22" s="104">
        <f>J22-(AF22*D22)</f>
        <v>0</v>
      </c>
      <c r="AH22" s="104"/>
    </row>
    <row r="23" spans="1:34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52"/>
      <c r="AG23" s="52">
        <f>J23-(AF23*D23)</f>
        <v>0</v>
      </c>
      <c r="AH23" s="52"/>
    </row>
    <row r="24" spans="1:34" ht="12.75">
      <c r="A24" s="81" t="s">
        <v>242</v>
      </c>
      <c r="B24" s="59"/>
      <c r="C24" s="59"/>
      <c r="D24" s="44"/>
      <c r="E24" s="45"/>
      <c r="F24" s="85"/>
      <c r="G24" s="86"/>
      <c r="H24" s="85"/>
      <c r="I24" s="46"/>
      <c r="J24" s="153" t="s">
        <v>231</v>
      </c>
      <c r="K24" s="153" t="s">
        <v>231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245</v>
      </c>
      <c r="X24" s="88"/>
      <c r="Y24" s="88"/>
      <c r="Z24" s="88"/>
      <c r="AA24" s="88"/>
      <c r="AB24" s="80"/>
      <c r="AC24" s="80"/>
      <c r="AD24" s="80"/>
      <c r="AE24" s="80"/>
      <c r="AF24" s="52"/>
      <c r="AG24" s="52" t="e">
        <f>J24-(AF24*D24)</f>
        <v>#VALUE!</v>
      </c>
      <c r="AH24" s="52"/>
    </row>
    <row r="25" spans="1:34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373</v>
      </c>
      <c r="X25" s="88"/>
      <c r="Y25" s="162">
        <f>V25+W25+X25</f>
        <v>347</v>
      </c>
      <c r="Z25" s="162"/>
      <c r="AA25" s="162"/>
      <c r="AB25" s="199">
        <f>Y25-K25</f>
        <v>-133</v>
      </c>
      <c r="AC25" s="91"/>
      <c r="AD25" s="91"/>
      <c r="AE25" s="91">
        <v>0</v>
      </c>
      <c r="AF25" s="88">
        <f>Y25/D25+AE25</f>
        <v>347</v>
      </c>
      <c r="AG25" s="96">
        <f>J25-(AF25*D25)</f>
        <v>133</v>
      </c>
      <c r="AH25" s="96"/>
    </row>
    <row r="26" spans="1:34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104"/>
      <c r="AG26" s="104">
        <f>J26-(AF26*D26)</f>
        <v>0</v>
      </c>
      <c r="AH26" s="104"/>
    </row>
    <row r="27" spans="1:34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237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/>
      <c r="AB27" s="147">
        <f aca="true" t="shared" si="12" ref="AB27:AB32">Y27-K27</f>
        <v>-521</v>
      </c>
      <c r="AC27" s="91"/>
      <c r="AD27" s="91"/>
      <c r="AE27" s="91">
        <f>AC27/D27</f>
        <v>0</v>
      </c>
      <c r="AF27" s="167">
        <f aca="true" t="shared" si="13" ref="AF27:AF32">Y27/D27</f>
        <v>3784</v>
      </c>
      <c r="AG27" s="167">
        <f aca="true" t="shared" si="14" ref="AG27:AG32">J27-(AA27*D27)</f>
        <v>4305</v>
      </c>
      <c r="AH27" s="167"/>
    </row>
    <row r="28" spans="1:34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11551</v>
      </c>
      <c r="Q28" s="89" t="s">
        <v>311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244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/>
      <c r="AB28" s="147">
        <f t="shared" si="12"/>
        <v>2941</v>
      </c>
      <c r="AC28" s="91"/>
      <c r="AD28" s="147">
        <f>AC28+AB28</f>
        <v>2941</v>
      </c>
      <c r="AE28" s="91">
        <f>AC28/D28</f>
        <v>0</v>
      </c>
      <c r="AF28" s="167">
        <f>Y28/D28+AE28</f>
        <v>5775.5</v>
      </c>
      <c r="AG28" s="167">
        <f t="shared" si="14"/>
        <v>8610</v>
      </c>
      <c r="AH28" s="167"/>
    </row>
    <row r="29" spans="1:34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238</v>
      </c>
      <c r="W29" s="157" t="s">
        <v>171</v>
      </c>
      <c r="X29" s="162">
        <v>0</v>
      </c>
      <c r="Y29" s="162">
        <f t="shared" si="11"/>
        <v>8305</v>
      </c>
      <c r="Z29" s="162">
        <v>8300</v>
      </c>
      <c r="AA29" s="162"/>
      <c r="AB29" s="147">
        <f t="shared" si="12"/>
        <v>-305</v>
      </c>
      <c r="AC29" s="91"/>
      <c r="AD29" s="91"/>
      <c r="AE29" s="91">
        <f>AC29/D29</f>
        <v>0</v>
      </c>
      <c r="AF29" s="167">
        <f t="shared" si="13"/>
        <v>4152.5</v>
      </c>
      <c r="AG29" s="167">
        <f t="shared" si="14"/>
        <v>9380</v>
      </c>
      <c r="AH29" s="167"/>
    </row>
    <row r="30" spans="1:34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239</v>
      </c>
      <c r="W30" s="157" t="s">
        <v>172</v>
      </c>
      <c r="X30" s="162">
        <v>0</v>
      </c>
      <c r="Y30" s="162">
        <f t="shared" si="11"/>
        <v>16406</v>
      </c>
      <c r="Z30" s="162">
        <v>16400</v>
      </c>
      <c r="AA30" s="162"/>
      <c r="AB30" s="147">
        <f t="shared" si="12"/>
        <v>-814</v>
      </c>
      <c r="AC30" s="91"/>
      <c r="AD30" s="91"/>
      <c r="AE30" s="91">
        <f>AC30/D30</f>
        <v>0</v>
      </c>
      <c r="AF30" s="167">
        <f t="shared" si="13"/>
        <v>4101.5</v>
      </c>
      <c r="AG30" s="167">
        <f t="shared" si="14"/>
        <v>23140</v>
      </c>
      <c r="AH30" s="167"/>
    </row>
    <row r="31" spans="1:34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314</v>
      </c>
      <c r="R31" s="196">
        <f t="shared" si="0"/>
        <v>-11280</v>
      </c>
      <c r="S31" s="50"/>
      <c r="T31" s="50"/>
      <c r="U31" s="51" t="s">
        <v>121</v>
      </c>
      <c r="V31" s="157" t="s">
        <v>236</v>
      </c>
      <c r="W31" s="157" t="s">
        <v>173</v>
      </c>
      <c r="X31" s="162">
        <v>0</v>
      </c>
      <c r="Y31" s="162">
        <f t="shared" si="11"/>
        <v>73140</v>
      </c>
      <c r="Z31" s="162">
        <v>85500</v>
      </c>
      <c r="AA31" s="162"/>
      <c r="AB31" s="147">
        <f t="shared" si="12"/>
        <v>-4350</v>
      </c>
      <c r="AC31" s="91"/>
      <c r="AD31" s="91"/>
      <c r="AE31" s="91">
        <f>AC31/D31</f>
        <v>0</v>
      </c>
      <c r="AF31" s="167">
        <f t="shared" si="13"/>
        <v>4063.3333333333335</v>
      </c>
      <c r="AG31" s="167">
        <f t="shared" si="14"/>
        <v>84420</v>
      </c>
      <c r="AH31" s="167"/>
    </row>
    <row r="32" spans="1:95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230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230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236</v>
      </c>
      <c r="W32" s="157" t="s">
        <v>230</v>
      </c>
      <c r="X32" s="162">
        <v>0</v>
      </c>
      <c r="Y32" s="162">
        <f t="shared" si="11"/>
        <v>45640</v>
      </c>
      <c r="Z32" s="162">
        <v>45600</v>
      </c>
      <c r="AA32" s="162"/>
      <c r="AB32" s="147">
        <f t="shared" si="12"/>
        <v>19810</v>
      </c>
      <c r="AC32" s="91"/>
      <c r="AD32" s="91"/>
      <c r="AE32" s="91">
        <f>AC32/D32</f>
        <v>0</v>
      </c>
      <c r="AF32" s="179">
        <f t="shared" si="13"/>
        <v>7606.666666666667</v>
      </c>
      <c r="AG32" s="167">
        <f t="shared" si="14"/>
        <v>28140</v>
      </c>
      <c r="AH32" s="179"/>
      <c r="AI32"/>
      <c r="AJ32"/>
      <c r="AK3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</row>
    <row r="33" spans="1:34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104"/>
      <c r="AG33" s="104">
        <f>J33-(AF33*D33)</f>
        <v>0</v>
      </c>
      <c r="AH33" s="104"/>
    </row>
    <row r="34" spans="1:34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88"/>
      <c r="AG34" s="88">
        <f>J34-(AF34*D34)</f>
        <v>0</v>
      </c>
      <c r="AH34" s="88"/>
    </row>
    <row r="35" spans="1:34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5"/>
      <c r="AG35" s="125">
        <f>J35-(AF35*D35)</f>
        <v>0</v>
      </c>
      <c r="AH35" s="125"/>
    </row>
    <row r="36" spans="1:34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5" ref="F36:F51">$E36*5/100</f>
        <v>205</v>
      </c>
      <c r="G36" s="86">
        <f>$G$4</f>
        <v>350</v>
      </c>
      <c r="H36" s="88">
        <f aca="true" t="shared" si="16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316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>
        <v>4089</v>
      </c>
      <c r="AA36" s="162"/>
      <c r="AB36" s="147">
        <f>Y36-K36</f>
        <v>-215</v>
      </c>
      <c r="AC36" s="147"/>
      <c r="AD36" s="147"/>
      <c r="AE36" s="203"/>
      <c r="AF36" s="167">
        <f>Y36/D36</f>
        <v>4090</v>
      </c>
      <c r="AG36" s="167">
        <f>J36-(AA36*D36)</f>
        <v>4690</v>
      </c>
      <c r="AH36" s="167"/>
    </row>
    <row r="37" spans="1:34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17" ref="E37:E51">$E$4</f>
        <v>4100</v>
      </c>
      <c r="F37" s="45">
        <f t="shared" si="15"/>
        <v>205</v>
      </c>
      <c r="G37" s="86">
        <f aca="true" t="shared" si="18" ref="G37:G51">$G$4</f>
        <v>350</v>
      </c>
      <c r="H37" s="88">
        <f t="shared" si="16"/>
        <v>35</v>
      </c>
      <c r="I37" s="46">
        <f aca="true" t="shared" si="19" ref="I37:I50">D37*(E37+F37+G37+H37)</f>
        <v>4690</v>
      </c>
      <c r="J37" s="152">
        <f aca="true" t="shared" si="20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1" ref="O37:O50">-K37+L37</f>
        <v>-145</v>
      </c>
      <c r="P37" s="96">
        <f aca="true" t="shared" si="22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3" ref="Y37:Y50">V37+W37+X37</f>
        <v>4092</v>
      </c>
      <c r="Z37" s="162">
        <v>4080</v>
      </c>
      <c r="AA37" s="162"/>
      <c r="AB37" s="147">
        <f aca="true" t="shared" si="24" ref="AB37:AB50">Y37-K37</f>
        <v>-213</v>
      </c>
      <c r="AC37" s="147"/>
      <c r="AD37" s="147"/>
      <c r="AE37" s="203"/>
      <c r="AF37" s="167">
        <f aca="true" t="shared" si="25" ref="AF37:AF50">Y37/D37</f>
        <v>4092</v>
      </c>
      <c r="AG37" s="167">
        <f aca="true" t="shared" si="26" ref="AG37:AG51">J37-(AA37*D37)</f>
        <v>4690</v>
      </c>
      <c r="AH37" s="167"/>
    </row>
    <row r="38" spans="1:34" ht="12.75">
      <c r="A38" s="109" t="s">
        <v>34</v>
      </c>
      <c r="B38" s="108"/>
      <c r="C38" s="108" t="s">
        <v>35</v>
      </c>
      <c r="D38" s="110">
        <v>3</v>
      </c>
      <c r="E38" s="45">
        <f t="shared" si="17"/>
        <v>4100</v>
      </c>
      <c r="F38" s="45">
        <f t="shared" si="15"/>
        <v>205</v>
      </c>
      <c r="G38" s="86">
        <f t="shared" si="18"/>
        <v>350</v>
      </c>
      <c r="H38" s="88">
        <f t="shared" si="16"/>
        <v>35</v>
      </c>
      <c r="I38" s="46">
        <f t="shared" si="19"/>
        <v>14070</v>
      </c>
      <c r="J38" s="152">
        <f t="shared" si="20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9266</v>
      </c>
      <c r="Q38" s="112" t="s">
        <v>322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243</v>
      </c>
      <c r="W38" s="164">
        <f>3565+3510+1053</f>
        <v>8128</v>
      </c>
      <c r="X38" s="164">
        <v>0</v>
      </c>
      <c r="Y38" s="162">
        <f>V38+W38+X38+AC38</f>
        <v>8284</v>
      </c>
      <c r="Z38" s="88">
        <v>19450</v>
      </c>
      <c r="AA38" s="162"/>
      <c r="AB38" s="147">
        <f t="shared" si="24"/>
        <v>-4631</v>
      </c>
      <c r="AC38" s="147">
        <v>0</v>
      </c>
      <c r="AD38" s="147">
        <f>AC38+AB38</f>
        <v>-4631</v>
      </c>
      <c r="AE38" s="147">
        <v>0</v>
      </c>
      <c r="AF38" s="195">
        <f>Y38/D38+AE21</f>
        <v>2761.3333333333335</v>
      </c>
      <c r="AG38" s="195">
        <f t="shared" si="26"/>
        <v>14070</v>
      </c>
      <c r="AH38" s="195"/>
    </row>
    <row r="39" spans="1:34" ht="12.75">
      <c r="A39" s="109" t="s">
        <v>36</v>
      </c>
      <c r="B39" s="108"/>
      <c r="C39" s="108" t="s">
        <v>26</v>
      </c>
      <c r="D39" s="110">
        <v>3</v>
      </c>
      <c r="E39" s="45">
        <f t="shared" si="17"/>
        <v>4100</v>
      </c>
      <c r="F39" s="45">
        <f t="shared" si="15"/>
        <v>205</v>
      </c>
      <c r="G39" s="86">
        <f t="shared" si="18"/>
        <v>350</v>
      </c>
      <c r="H39" s="88">
        <f t="shared" si="16"/>
        <v>35</v>
      </c>
      <c r="I39" s="46">
        <f t="shared" si="19"/>
        <v>14070</v>
      </c>
      <c r="J39" s="152">
        <f t="shared" si="20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27" ref="N39:N50">-I39+L39</f>
        <v>-1770</v>
      </c>
      <c r="O39" s="130">
        <f t="shared" si="21"/>
        <v>-615</v>
      </c>
      <c r="P39" s="96">
        <f t="shared" si="22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239</v>
      </c>
      <c r="W39" s="158" t="s">
        <v>175</v>
      </c>
      <c r="X39" s="164">
        <v>0</v>
      </c>
      <c r="Y39" s="162">
        <f>V39+W39+X39+AC39</f>
        <v>11336</v>
      </c>
      <c r="Z39" s="162">
        <v>9530</v>
      </c>
      <c r="AA39" s="162"/>
      <c r="AB39" s="147">
        <f t="shared" si="24"/>
        <v>-1579</v>
      </c>
      <c r="AC39" s="91">
        <v>1800</v>
      </c>
      <c r="AD39" s="147">
        <f>AC39+AB39</f>
        <v>221</v>
      </c>
      <c r="AE39" s="91">
        <f>AC39/D39</f>
        <v>600</v>
      </c>
      <c r="AF39" s="195">
        <f t="shared" si="25"/>
        <v>3778.6666666666665</v>
      </c>
      <c r="AG39" s="195">
        <f t="shared" si="26"/>
        <v>14070</v>
      </c>
      <c r="AH39" s="195"/>
    </row>
    <row r="40" spans="1:34" ht="12.75">
      <c r="A40" s="109" t="s">
        <v>37</v>
      </c>
      <c r="B40" s="108"/>
      <c r="C40" s="108" t="s">
        <v>126</v>
      </c>
      <c r="D40" s="110">
        <v>6</v>
      </c>
      <c r="E40" s="45">
        <f t="shared" si="17"/>
        <v>4100</v>
      </c>
      <c r="F40" s="45">
        <f t="shared" si="15"/>
        <v>205</v>
      </c>
      <c r="G40" s="86">
        <f t="shared" si="18"/>
        <v>350</v>
      </c>
      <c r="H40" s="88">
        <f t="shared" si="16"/>
        <v>35</v>
      </c>
      <c r="I40" s="46">
        <f t="shared" si="19"/>
        <v>28140</v>
      </c>
      <c r="J40" s="152">
        <f t="shared" si="20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27"/>
        <v>-3140</v>
      </c>
      <c r="O40" s="130">
        <f t="shared" si="21"/>
        <v>-830</v>
      </c>
      <c r="P40" s="96">
        <f t="shared" si="22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3"/>
        <v>24000</v>
      </c>
      <c r="Z40" s="162">
        <v>24000</v>
      </c>
      <c r="AA40" s="162"/>
      <c r="AB40" s="147">
        <f t="shared" si="24"/>
        <v>-1830</v>
      </c>
      <c r="AC40" s="147"/>
      <c r="AD40" s="147"/>
      <c r="AE40" s="147"/>
      <c r="AF40" s="195">
        <f t="shared" si="25"/>
        <v>4000</v>
      </c>
      <c r="AG40" s="195">
        <f t="shared" si="26"/>
        <v>28140</v>
      </c>
      <c r="AH40" s="195"/>
    </row>
    <row r="41" spans="1:34" ht="12.75">
      <c r="A41" s="109" t="s">
        <v>38</v>
      </c>
      <c r="B41" s="108"/>
      <c r="C41" s="108" t="s">
        <v>27</v>
      </c>
      <c r="D41" s="110">
        <v>3</v>
      </c>
      <c r="E41" s="45">
        <f t="shared" si="17"/>
        <v>4100</v>
      </c>
      <c r="F41" s="45">
        <f t="shared" si="15"/>
        <v>205</v>
      </c>
      <c r="G41" s="86">
        <f t="shared" si="18"/>
        <v>350</v>
      </c>
      <c r="H41" s="88">
        <f t="shared" si="16"/>
        <v>35</v>
      </c>
      <c r="I41" s="46">
        <f t="shared" si="19"/>
        <v>14070</v>
      </c>
      <c r="J41" s="152">
        <f t="shared" si="20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27"/>
        <v>-1670</v>
      </c>
      <c r="O41" s="130">
        <f t="shared" si="21"/>
        <v>-515</v>
      </c>
      <c r="P41" s="96">
        <f t="shared" si="22"/>
        <v>14306</v>
      </c>
      <c r="Q41" s="112" t="s">
        <v>232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239</v>
      </c>
      <c r="W41" s="158" t="s">
        <v>232</v>
      </c>
      <c r="X41" s="164">
        <v>2300</v>
      </c>
      <c r="Y41" s="162">
        <f t="shared" si="23"/>
        <v>14306</v>
      </c>
      <c r="Z41" s="162">
        <v>12000</v>
      </c>
      <c r="AA41" s="162"/>
      <c r="AB41" s="147">
        <f t="shared" si="24"/>
        <v>1391</v>
      </c>
      <c r="AC41" s="147"/>
      <c r="AD41" s="147"/>
      <c r="AE41" s="147"/>
      <c r="AF41" s="167">
        <f t="shared" si="25"/>
        <v>4768.666666666667</v>
      </c>
      <c r="AG41" s="167">
        <f t="shared" si="26"/>
        <v>14070</v>
      </c>
      <c r="AH41" s="167"/>
    </row>
    <row r="42" spans="1:34" ht="12.75">
      <c r="A42" s="109" t="s">
        <v>40</v>
      </c>
      <c r="B42" s="108"/>
      <c r="C42" s="108" t="s">
        <v>127</v>
      </c>
      <c r="D42" s="110">
        <v>2</v>
      </c>
      <c r="E42" s="45">
        <f t="shared" si="17"/>
        <v>4100</v>
      </c>
      <c r="F42" s="45">
        <f>$E42*30/100</f>
        <v>1230</v>
      </c>
      <c r="G42" s="86">
        <f t="shared" si="18"/>
        <v>350</v>
      </c>
      <c r="H42" s="88">
        <f>$G42*30/100</f>
        <v>105</v>
      </c>
      <c r="I42" s="46">
        <f t="shared" si="19"/>
        <v>11570</v>
      </c>
      <c r="J42" s="152">
        <f t="shared" si="20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27"/>
        <v>-7370</v>
      </c>
      <c r="O42" s="130">
        <f t="shared" si="21"/>
        <v>-4410</v>
      </c>
      <c r="P42" s="96">
        <f t="shared" si="22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3"/>
        <v>4200</v>
      </c>
      <c r="Z42" s="162">
        <v>4200</v>
      </c>
      <c r="AA42" s="162"/>
      <c r="AB42" s="147">
        <f t="shared" si="24"/>
        <v>-4410</v>
      </c>
      <c r="AC42" s="147"/>
      <c r="AD42" s="147"/>
      <c r="AE42" s="147"/>
      <c r="AF42" s="167">
        <f t="shared" si="25"/>
        <v>2100</v>
      </c>
      <c r="AG42" s="167">
        <f t="shared" si="26"/>
        <v>11570</v>
      </c>
      <c r="AH42" s="167"/>
    </row>
    <row r="43" spans="1:34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17"/>
        <v>4100</v>
      </c>
      <c r="F43" s="45">
        <f t="shared" si="15"/>
        <v>205</v>
      </c>
      <c r="G43" s="86">
        <f t="shared" si="18"/>
        <v>350</v>
      </c>
      <c r="H43" s="88">
        <f t="shared" si="16"/>
        <v>35</v>
      </c>
      <c r="I43" s="46">
        <f t="shared" si="19"/>
        <v>9380</v>
      </c>
      <c r="J43" s="152">
        <f t="shared" si="20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27"/>
        <v>-1108</v>
      </c>
      <c r="O43" s="130">
        <f t="shared" si="21"/>
        <v>-338</v>
      </c>
      <c r="P43" s="96">
        <f t="shared" si="22"/>
        <v>8204</v>
      </c>
      <c r="Q43" s="51" t="s">
        <v>320</v>
      </c>
      <c r="R43" s="130">
        <f t="shared" si="0"/>
        <v>-1176</v>
      </c>
      <c r="S43" s="140"/>
      <c r="T43" s="113" t="s">
        <v>24</v>
      </c>
      <c r="U43" s="51"/>
      <c r="V43" s="157" t="s">
        <v>237</v>
      </c>
      <c r="W43" s="157"/>
      <c r="X43" s="162">
        <v>8200</v>
      </c>
      <c r="Y43" s="162">
        <f t="shared" si="23"/>
        <v>8204</v>
      </c>
      <c r="Z43" s="162">
        <v>8200</v>
      </c>
      <c r="AA43" s="162"/>
      <c r="AB43" s="147">
        <f t="shared" si="24"/>
        <v>-406</v>
      </c>
      <c r="AC43" s="147"/>
      <c r="AD43" s="147"/>
      <c r="AE43" s="147"/>
      <c r="AF43" s="167">
        <f t="shared" si="25"/>
        <v>4102</v>
      </c>
      <c r="AG43" s="167">
        <f t="shared" si="26"/>
        <v>9380</v>
      </c>
      <c r="AH43" s="167"/>
    </row>
    <row r="44" spans="1:34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17"/>
        <v>4100</v>
      </c>
      <c r="F44" s="45">
        <f t="shared" si="15"/>
        <v>205</v>
      </c>
      <c r="G44" s="86">
        <f t="shared" si="18"/>
        <v>350</v>
      </c>
      <c r="H44" s="88">
        <f t="shared" si="16"/>
        <v>35</v>
      </c>
      <c r="I44" s="46">
        <f t="shared" si="19"/>
        <v>4690</v>
      </c>
      <c r="J44" s="152">
        <f t="shared" si="20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27"/>
        <v>-554</v>
      </c>
      <c r="O44" s="130">
        <f t="shared" si="21"/>
        <v>-169</v>
      </c>
      <c r="P44" s="96">
        <f t="shared" si="22"/>
        <v>4102</v>
      </c>
      <c r="Q44" s="51" t="s">
        <v>317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3"/>
        <v>4102</v>
      </c>
      <c r="Z44" s="162">
        <v>4100</v>
      </c>
      <c r="AA44" s="162"/>
      <c r="AB44" s="147">
        <f t="shared" si="24"/>
        <v>-203</v>
      </c>
      <c r="AC44" s="147"/>
      <c r="AD44" s="147"/>
      <c r="AE44" s="147"/>
      <c r="AF44" s="167">
        <f t="shared" si="25"/>
        <v>4102</v>
      </c>
      <c r="AG44" s="167">
        <f t="shared" si="26"/>
        <v>4690</v>
      </c>
      <c r="AH44" s="167"/>
    </row>
    <row r="45" spans="1:34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17"/>
        <v>4100</v>
      </c>
      <c r="F45" s="45">
        <f t="shared" si="15"/>
        <v>205</v>
      </c>
      <c r="G45" s="86">
        <f t="shared" si="18"/>
        <v>350</v>
      </c>
      <c r="H45" s="88">
        <f t="shared" si="16"/>
        <v>35</v>
      </c>
      <c r="I45" s="46">
        <f t="shared" si="19"/>
        <v>4690</v>
      </c>
      <c r="J45" s="152">
        <f t="shared" si="20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27"/>
        <v>-490</v>
      </c>
      <c r="O45" s="130">
        <f t="shared" si="21"/>
        <v>-105</v>
      </c>
      <c r="P45" s="96">
        <f t="shared" si="22"/>
        <v>4102</v>
      </c>
      <c r="Q45" s="51" t="s">
        <v>317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3"/>
        <v>4102</v>
      </c>
      <c r="Z45" s="162">
        <v>4100</v>
      </c>
      <c r="AA45" s="162"/>
      <c r="AB45" s="147">
        <f t="shared" si="24"/>
        <v>-203</v>
      </c>
      <c r="AC45" s="147"/>
      <c r="AD45" s="147"/>
      <c r="AE45" s="147"/>
      <c r="AF45" s="167">
        <f t="shared" si="25"/>
        <v>4102</v>
      </c>
      <c r="AG45" s="167">
        <f t="shared" si="26"/>
        <v>4690</v>
      </c>
      <c r="AH45" s="167"/>
    </row>
    <row r="46" spans="1:34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17"/>
        <v>4100</v>
      </c>
      <c r="F46" s="45">
        <f t="shared" si="15"/>
        <v>205</v>
      </c>
      <c r="G46" s="86">
        <f t="shared" si="18"/>
        <v>350</v>
      </c>
      <c r="H46" s="88">
        <f t="shared" si="16"/>
        <v>35</v>
      </c>
      <c r="I46" s="46">
        <f>D46*(E46+F46+G46+H46)</f>
        <v>4690</v>
      </c>
      <c r="J46" s="152">
        <f t="shared" si="20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27"/>
        <v>-490</v>
      </c>
      <c r="O46" s="130">
        <f t="shared" si="21"/>
        <v>-105</v>
      </c>
      <c r="P46" s="96">
        <f t="shared" si="22"/>
        <v>4102</v>
      </c>
      <c r="Q46" s="51" t="s">
        <v>317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3"/>
        <v>4102</v>
      </c>
      <c r="Z46" s="162">
        <v>4100</v>
      </c>
      <c r="AA46" s="162"/>
      <c r="AB46" s="147">
        <f t="shared" si="24"/>
        <v>-203</v>
      </c>
      <c r="AC46" s="147"/>
      <c r="AD46" s="147"/>
      <c r="AE46" s="147"/>
      <c r="AF46" s="167">
        <f t="shared" si="25"/>
        <v>4102</v>
      </c>
      <c r="AG46" s="167">
        <f t="shared" si="26"/>
        <v>4690</v>
      </c>
      <c r="AH46" s="167"/>
    </row>
    <row r="47" spans="1:34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17"/>
        <v>4100</v>
      </c>
      <c r="F47" s="45">
        <f t="shared" si="15"/>
        <v>205</v>
      </c>
      <c r="G47" s="86">
        <f t="shared" si="18"/>
        <v>350</v>
      </c>
      <c r="H47" s="88">
        <f t="shared" si="16"/>
        <v>35</v>
      </c>
      <c r="I47" s="46">
        <f t="shared" si="19"/>
        <v>703.5</v>
      </c>
      <c r="J47" s="152">
        <f t="shared" si="20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27"/>
        <v>96.5</v>
      </c>
      <c r="O47" s="130">
        <f t="shared" si="21"/>
        <v>154.25</v>
      </c>
      <c r="P47" s="96">
        <f t="shared" si="22"/>
        <v>800</v>
      </c>
      <c r="Q47" s="51" t="s">
        <v>252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3"/>
        <v>800</v>
      </c>
      <c r="Z47" s="162">
        <v>800</v>
      </c>
      <c r="AA47" s="162"/>
      <c r="AB47" s="147">
        <f t="shared" si="24"/>
        <v>154.25</v>
      </c>
      <c r="AC47" s="147"/>
      <c r="AD47" s="147"/>
      <c r="AE47" s="147"/>
      <c r="AF47" s="167">
        <f t="shared" si="25"/>
        <v>5333.333333333334</v>
      </c>
      <c r="AG47" s="167">
        <f t="shared" si="26"/>
        <v>703.5</v>
      </c>
      <c r="AH47" s="167"/>
    </row>
    <row r="48" spans="1:34" ht="12.75">
      <c r="A48" s="107" t="s">
        <v>102</v>
      </c>
      <c r="B48" s="43"/>
      <c r="C48" s="75" t="s">
        <v>101</v>
      </c>
      <c r="D48" s="76">
        <v>0.1</v>
      </c>
      <c r="E48" s="45">
        <f t="shared" si="17"/>
        <v>4100</v>
      </c>
      <c r="F48" s="45">
        <f t="shared" si="15"/>
        <v>205</v>
      </c>
      <c r="G48" s="86">
        <f t="shared" si="18"/>
        <v>350</v>
      </c>
      <c r="H48" s="88">
        <f t="shared" si="16"/>
        <v>35</v>
      </c>
      <c r="I48" s="46">
        <f>D48*(E48+F48+G48+H48)</f>
        <v>469</v>
      </c>
      <c r="J48" s="152">
        <f t="shared" si="20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27"/>
        <v>-189</v>
      </c>
      <c r="O48" s="130">
        <f t="shared" si="21"/>
        <v>-150.5</v>
      </c>
      <c r="P48" s="96">
        <f t="shared" si="22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325</v>
      </c>
      <c r="X48" s="162">
        <v>140</v>
      </c>
      <c r="Y48" s="162">
        <f t="shared" si="23"/>
        <v>331</v>
      </c>
      <c r="Z48" s="162" t="s">
        <v>376</v>
      </c>
      <c r="AA48" s="162"/>
      <c r="AB48" s="91">
        <f t="shared" si="24"/>
        <v>-99.5</v>
      </c>
      <c r="AC48" s="147"/>
      <c r="AD48" s="147"/>
      <c r="AE48" s="147"/>
      <c r="AF48" s="88">
        <f t="shared" si="25"/>
        <v>3310</v>
      </c>
      <c r="AG48" s="88">
        <f t="shared" si="26"/>
        <v>469</v>
      </c>
      <c r="AH48" s="88"/>
    </row>
    <row r="49" spans="1:34" ht="12.75">
      <c r="A49" s="107" t="s">
        <v>13</v>
      </c>
      <c r="B49" s="43"/>
      <c r="C49" s="75"/>
      <c r="D49" s="76">
        <v>1</v>
      </c>
      <c r="E49" s="45">
        <f t="shared" si="17"/>
        <v>4100</v>
      </c>
      <c r="F49" s="45">
        <f t="shared" si="15"/>
        <v>205</v>
      </c>
      <c r="G49" s="86">
        <f t="shared" si="18"/>
        <v>350</v>
      </c>
      <c r="H49" s="88">
        <f t="shared" si="16"/>
        <v>35</v>
      </c>
      <c r="I49" s="46">
        <f t="shared" si="19"/>
        <v>4690</v>
      </c>
      <c r="J49" s="152">
        <f t="shared" si="20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27"/>
        <v>-440</v>
      </c>
      <c r="O49" s="130">
        <f t="shared" si="21"/>
        <v>-55</v>
      </c>
      <c r="P49" s="96">
        <f t="shared" si="22"/>
        <v>4100</v>
      </c>
      <c r="Q49" s="51" t="s">
        <v>317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3"/>
        <v>4100</v>
      </c>
      <c r="Z49" s="162">
        <v>4100</v>
      </c>
      <c r="AA49" s="162"/>
      <c r="AB49" s="147">
        <f t="shared" si="24"/>
        <v>-205</v>
      </c>
      <c r="AC49" s="147"/>
      <c r="AD49" s="147"/>
      <c r="AE49" s="147"/>
      <c r="AF49" s="167">
        <f t="shared" si="25"/>
        <v>4100</v>
      </c>
      <c r="AG49" s="167">
        <f t="shared" si="26"/>
        <v>4690</v>
      </c>
      <c r="AH49" s="167"/>
    </row>
    <row r="50" spans="1:34" ht="12.75">
      <c r="A50" s="107" t="s">
        <v>14</v>
      </c>
      <c r="B50" s="43"/>
      <c r="C50" s="75"/>
      <c r="D50" s="76">
        <v>1</v>
      </c>
      <c r="E50" s="45">
        <f t="shared" si="17"/>
        <v>4100</v>
      </c>
      <c r="F50" s="45">
        <f t="shared" si="15"/>
        <v>205</v>
      </c>
      <c r="G50" s="86">
        <f t="shared" si="18"/>
        <v>350</v>
      </c>
      <c r="H50" s="88">
        <f t="shared" si="16"/>
        <v>35</v>
      </c>
      <c r="I50" s="46">
        <f t="shared" si="19"/>
        <v>4690</v>
      </c>
      <c r="J50" s="152">
        <f t="shared" si="20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27"/>
        <v>-417</v>
      </c>
      <c r="O50" s="130">
        <f t="shared" si="21"/>
        <v>-32</v>
      </c>
      <c r="P50" s="96">
        <f t="shared" si="22"/>
        <v>4100</v>
      </c>
      <c r="Q50" s="51" t="s">
        <v>317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3"/>
        <v>4100</v>
      </c>
      <c r="Z50" s="162">
        <v>4100</v>
      </c>
      <c r="AA50" s="162"/>
      <c r="AB50" s="147">
        <f t="shared" si="24"/>
        <v>-205</v>
      </c>
      <c r="AC50" s="147"/>
      <c r="AD50" s="147"/>
      <c r="AE50" s="147"/>
      <c r="AF50" s="167">
        <f t="shared" si="25"/>
        <v>4100</v>
      </c>
      <c r="AG50" s="167">
        <f t="shared" si="26"/>
        <v>4690</v>
      </c>
      <c r="AH50" s="167"/>
    </row>
    <row r="51" spans="1:41" ht="12.75">
      <c r="A51" s="223" t="s">
        <v>348</v>
      </c>
      <c r="B51" s="43" t="s">
        <v>349</v>
      </c>
      <c r="C51" s="75"/>
      <c r="D51" s="76">
        <v>0.05</v>
      </c>
      <c r="E51" s="45">
        <f t="shared" si="17"/>
        <v>4100</v>
      </c>
      <c r="F51" s="45">
        <f t="shared" si="15"/>
        <v>205</v>
      </c>
      <c r="G51" s="86">
        <f t="shared" si="18"/>
        <v>350</v>
      </c>
      <c r="H51" s="88">
        <f t="shared" si="16"/>
        <v>35</v>
      </c>
      <c r="I51" s="46">
        <f>D51*(E51+F51+G51+H51)</f>
        <v>234.5</v>
      </c>
      <c r="J51" s="152">
        <f t="shared" si="20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375</v>
      </c>
      <c r="X51" s="162"/>
      <c r="Y51" s="162"/>
      <c r="Z51" s="162"/>
      <c r="AA51" s="162"/>
      <c r="AB51" s="147"/>
      <c r="AC51" s="147"/>
      <c r="AD51" s="147"/>
      <c r="AE51" s="147">
        <v>0</v>
      </c>
      <c r="AF51" s="167"/>
      <c r="AG51" s="167">
        <f t="shared" si="26"/>
        <v>234.5</v>
      </c>
      <c r="AH51" s="167"/>
      <c r="AO51" t="s">
        <v>274</v>
      </c>
    </row>
    <row r="52" spans="1:34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-512581.25</v>
      </c>
      <c r="AC52" s="139"/>
      <c r="AD52" s="139"/>
      <c r="AE52" s="139"/>
      <c r="AF52" s="135"/>
      <c r="AG52" s="135"/>
      <c r="AH52" s="135"/>
    </row>
    <row r="53" spans="1:36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21"/>
      <c r="AI53" s="13"/>
      <c r="AJ53" s="9"/>
    </row>
    <row r="54" spans="1:36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22"/>
      <c r="AG54" s="22"/>
      <c r="AH54" s="22"/>
      <c r="AI54" s="13"/>
      <c r="AJ54" s="18"/>
    </row>
    <row r="55" spans="2:36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21"/>
      <c r="AG55" s="21"/>
      <c r="AH55" s="21"/>
      <c r="AI55" s="13"/>
      <c r="AJ55" s="9"/>
    </row>
    <row r="56" spans="2:36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21"/>
      <c r="AG56" s="21"/>
      <c r="AH56" s="21"/>
      <c r="AI56" s="13"/>
      <c r="AJ56" s="9"/>
    </row>
    <row r="57" spans="1:38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10" t="s">
        <v>342</v>
      </c>
      <c r="K57" s="154" t="s">
        <v>337</v>
      </c>
      <c r="L57" s="189" t="s">
        <v>4</v>
      </c>
      <c r="M57" s="33" t="s">
        <v>29</v>
      </c>
      <c r="N57" s="38" t="s">
        <v>123</v>
      </c>
      <c r="O57" s="187" t="s">
        <v>338</v>
      </c>
      <c r="P57" s="33" t="s">
        <v>30</v>
      </c>
      <c r="Q57" s="156" t="s">
        <v>339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246</v>
      </c>
      <c r="Z57" s="165" t="s">
        <v>361</v>
      </c>
      <c r="AA57" s="218" t="s">
        <v>363</v>
      </c>
      <c r="AB57" s="166" t="s">
        <v>117</v>
      </c>
      <c r="AC57" s="166" t="s">
        <v>374</v>
      </c>
      <c r="AD57" s="166" t="s">
        <v>364</v>
      </c>
      <c r="AE57" s="166" t="s">
        <v>262</v>
      </c>
      <c r="AF57" s="165" t="s">
        <v>365</v>
      </c>
      <c r="AG57" s="211" t="s">
        <v>345</v>
      </c>
      <c r="AH57" s="211" t="s">
        <v>360</v>
      </c>
      <c r="AI57" s="220" t="s">
        <v>340</v>
      </c>
      <c r="AJ57" s="190" t="s">
        <v>307</v>
      </c>
      <c r="AK57" s="190" t="s">
        <v>341</v>
      </c>
      <c r="AL57" s="220" t="s">
        <v>367</v>
      </c>
    </row>
    <row r="58" spans="2:36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4"/>
      <c r="AC58" s="4"/>
      <c r="AD58" s="4"/>
      <c r="AE58" s="4"/>
      <c r="AF58" s="21"/>
      <c r="AG58" s="21"/>
      <c r="AH58" s="21"/>
      <c r="AI58" s="221" t="s">
        <v>366</v>
      </c>
      <c r="AJ58" s="8"/>
    </row>
    <row r="59" spans="1:37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104"/>
      <c r="AG59" s="104"/>
      <c r="AH59" s="104"/>
      <c r="AI59" s="72"/>
      <c r="AJ59" s="10"/>
      <c r="AK59" s="10"/>
    </row>
    <row r="60" spans="1:37" ht="12.75">
      <c r="A60" s="74" t="s">
        <v>82</v>
      </c>
      <c r="B60" s="43" t="s">
        <v>71</v>
      </c>
      <c r="C60" s="59" t="s">
        <v>83</v>
      </c>
      <c r="D60" s="44">
        <v>1</v>
      </c>
      <c r="E60" s="209">
        <f>$E$4-(480)</f>
        <v>3620</v>
      </c>
      <c r="F60" s="209">
        <v>250</v>
      </c>
      <c r="G60" s="86"/>
      <c r="H60" s="88"/>
      <c r="I60" s="46">
        <f aca="true" t="shared" si="28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252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326</v>
      </c>
      <c r="X60" s="162">
        <v>2</v>
      </c>
      <c r="Y60" s="162">
        <f>V60+W60+X60</f>
        <v>2004</v>
      </c>
      <c r="Z60" s="162">
        <v>800</v>
      </c>
      <c r="AA60" s="162">
        <f>AE60+AF60</f>
        <v>2933</v>
      </c>
      <c r="AB60" s="91"/>
      <c r="AC60" s="91">
        <f>1344+560+225-1200</f>
        <v>929</v>
      </c>
      <c r="AD60" s="172">
        <f>AE60-AF60+500</f>
        <v>-575</v>
      </c>
      <c r="AE60" s="172">
        <f>AC60/D60</f>
        <v>929</v>
      </c>
      <c r="AF60" s="96">
        <f>Y60/D60</f>
        <v>2004</v>
      </c>
      <c r="AG60" s="88">
        <f aca="true" t="shared" si="29" ref="AG60:AG67">J60-(AA60*D60)</f>
        <v>937</v>
      </c>
      <c r="AH60" s="96"/>
      <c r="AI60" s="176" t="s">
        <v>263</v>
      </c>
      <c r="AJ60" s="206">
        <f>AF60+AI60+550</f>
        <v>3069</v>
      </c>
      <c r="AK60" s="172">
        <f>AJ60-4305</f>
        <v>-1236</v>
      </c>
    </row>
    <row r="61" spans="1:37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9">
        <v>250</v>
      </c>
      <c r="G61" s="86">
        <f>$G$4</f>
        <v>350</v>
      </c>
      <c r="H61" s="88">
        <f>$G61*10/100</f>
        <v>35</v>
      </c>
      <c r="I61" s="46">
        <f t="shared" si="28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253</v>
      </c>
      <c r="R61" s="196">
        <f>-I61+P61</f>
        <v>-2256</v>
      </c>
      <c r="S61" s="50" t="s">
        <v>31</v>
      </c>
      <c r="T61" s="50" t="s">
        <v>106</v>
      </c>
      <c r="U61" s="89" t="s">
        <v>274</v>
      </c>
      <c r="V61" s="157" t="s">
        <v>245</v>
      </c>
      <c r="W61" s="157" t="s">
        <v>327</v>
      </c>
      <c r="X61" s="162">
        <v>4</v>
      </c>
      <c r="Y61" s="88">
        <f>V61+W61+X61</f>
        <v>4004</v>
      </c>
      <c r="Z61" s="162">
        <v>1600</v>
      </c>
      <c r="AA61" s="162">
        <f aca="true" t="shared" si="30" ref="AA61:AA68">AE61+AF61</f>
        <v>2540</v>
      </c>
      <c r="AB61" s="91"/>
      <c r="AC61" s="91">
        <v>1076</v>
      </c>
      <c r="AD61" s="172">
        <f>AE61-AF61+500</f>
        <v>-964</v>
      </c>
      <c r="AE61" s="172">
        <f>AC61/D61</f>
        <v>538</v>
      </c>
      <c r="AF61" s="96">
        <f>Y61/D61</f>
        <v>2002</v>
      </c>
      <c r="AG61" s="88">
        <f t="shared" si="29"/>
        <v>3430</v>
      </c>
      <c r="AH61" s="96"/>
      <c r="AI61" s="176" t="s">
        <v>273</v>
      </c>
      <c r="AJ61" s="206">
        <f>AF61+AI61+550</f>
        <v>3202</v>
      </c>
      <c r="AK61" s="172">
        <f>AJ61-4305</f>
        <v>-1103</v>
      </c>
    </row>
    <row r="62" spans="1:37" s="15" customFormat="1" ht="12.75">
      <c r="A62" s="99" t="s">
        <v>347</v>
      </c>
      <c r="B62" s="83" t="s">
        <v>71</v>
      </c>
      <c r="C62" s="97" t="s">
        <v>83</v>
      </c>
      <c r="D62" s="84">
        <v>1</v>
      </c>
      <c r="E62" s="204"/>
      <c r="F62" s="204"/>
      <c r="G62" s="86">
        <f>$G$4</f>
        <v>350</v>
      </c>
      <c r="H62" s="88">
        <f>$G62*10/100</f>
        <v>35</v>
      </c>
      <c r="I62" s="87">
        <f t="shared" si="28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30"/>
        <v>0</v>
      </c>
      <c r="AB62" s="91"/>
      <c r="AC62" s="91"/>
      <c r="AD62" s="91"/>
      <c r="AE62" s="91"/>
      <c r="AF62" s="88"/>
      <c r="AG62" s="88"/>
      <c r="AH62" s="88"/>
      <c r="AI62" s="89" t="s">
        <v>263</v>
      </c>
      <c r="AJ62" s="216">
        <f>AF62+AI62+550</f>
        <v>1065</v>
      </c>
      <c r="AK62" s="91">
        <f>AJ62-4305</f>
        <v>-3240</v>
      </c>
    </row>
    <row r="63" spans="1:37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9">
        <v>250</v>
      </c>
      <c r="G63" s="86">
        <f>$G$4</f>
        <v>350</v>
      </c>
      <c r="H63" s="88">
        <f>$G63*10/100</f>
        <v>35</v>
      </c>
      <c r="I63" s="46">
        <f t="shared" si="28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AC63+4110</f>
        <v>5375</v>
      </c>
      <c r="Q63" s="89" t="s">
        <v>254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328</v>
      </c>
      <c r="X63" s="162">
        <v>2</v>
      </c>
      <c r="Y63" s="162">
        <f>V63+W63+X63</f>
        <v>2012</v>
      </c>
      <c r="Z63" s="162">
        <v>810</v>
      </c>
      <c r="AA63" s="162">
        <f t="shared" si="30"/>
        <v>3277</v>
      </c>
      <c r="AB63" s="91"/>
      <c r="AC63" s="91">
        <f>1800+675-10-1200</f>
        <v>1265</v>
      </c>
      <c r="AD63" s="172">
        <f>AE63-AF63+500</f>
        <v>-247</v>
      </c>
      <c r="AE63" s="172">
        <f>AC63/D63</f>
        <v>1265</v>
      </c>
      <c r="AF63" s="96">
        <f>Y63/D63</f>
        <v>2012</v>
      </c>
      <c r="AG63" s="88">
        <f t="shared" si="29"/>
        <v>978</v>
      </c>
      <c r="AH63" s="96"/>
      <c r="AI63" s="176" t="s">
        <v>263</v>
      </c>
      <c r="AJ63" s="206">
        <f>AF63+AI63+550</f>
        <v>3077</v>
      </c>
      <c r="AK63" s="172">
        <f>AJ63-4305</f>
        <v>-1228</v>
      </c>
    </row>
    <row r="64" spans="1:37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9">
        <v>250</v>
      </c>
      <c r="G64" s="86"/>
      <c r="H64" s="85"/>
      <c r="I64" s="46">
        <f t="shared" si="28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AC64+6460</f>
        <v>7395</v>
      </c>
      <c r="Q64" s="51" t="s">
        <v>253</v>
      </c>
      <c r="R64" s="171">
        <f>-I64+P64</f>
        <v>-1305</v>
      </c>
      <c r="S64" s="140" t="s">
        <v>31</v>
      </c>
      <c r="T64" s="50" t="s">
        <v>155</v>
      </c>
      <c r="U64" s="51"/>
      <c r="V64" s="157"/>
      <c r="W64" s="157" t="s">
        <v>327</v>
      </c>
      <c r="X64" s="162">
        <v>4</v>
      </c>
      <c r="Y64" s="162">
        <f>V64+W64+X64</f>
        <v>4004</v>
      </c>
      <c r="Z64" s="162">
        <v>1600</v>
      </c>
      <c r="AA64" s="162">
        <f t="shared" si="30"/>
        <v>2469.5</v>
      </c>
      <c r="AB64" s="91"/>
      <c r="AC64" s="91">
        <f>3335-2400</f>
        <v>935</v>
      </c>
      <c r="AD64" s="172">
        <f>AE64-AF64+500</f>
        <v>-1034.5</v>
      </c>
      <c r="AE64" s="172">
        <f>AC64/D64</f>
        <v>467.5</v>
      </c>
      <c r="AF64" s="96">
        <f>Y64/D64</f>
        <v>2002</v>
      </c>
      <c r="AG64" s="88">
        <f t="shared" si="29"/>
        <v>2801</v>
      </c>
      <c r="AH64" s="96"/>
      <c r="AI64" s="176" t="s">
        <v>273</v>
      </c>
      <c r="AJ64" s="206">
        <f>AF64+AI64+550</f>
        <v>3202</v>
      </c>
      <c r="AK64" s="172">
        <f>AJ64-4305</f>
        <v>-1103</v>
      </c>
    </row>
    <row r="65" spans="1:35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7">
        <v>0</v>
      </c>
      <c r="F65" s="85">
        <v>0</v>
      </c>
      <c r="G65" s="86">
        <v>0</v>
      </c>
      <c r="H65" s="88">
        <v>0</v>
      </c>
      <c r="I65" s="87">
        <f t="shared" si="28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30"/>
        <v>0</v>
      </c>
      <c r="AB65" s="91"/>
      <c r="AC65" s="91"/>
      <c r="AD65" s="91"/>
      <c r="AE65" s="91"/>
      <c r="AF65" s="88"/>
      <c r="AG65" s="88"/>
      <c r="AH65" s="88"/>
      <c r="AI65" s="89"/>
    </row>
    <row r="66" spans="1:37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9">
        <v>250</v>
      </c>
      <c r="G66" s="86"/>
      <c r="H66" s="88"/>
      <c r="I66" s="46">
        <f t="shared" si="28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AC66+13164</f>
        <v>13759</v>
      </c>
      <c r="Q66" s="51" t="s">
        <v>319</v>
      </c>
      <c r="R66" s="196">
        <f>-I66+P66</f>
        <v>5059</v>
      </c>
      <c r="S66" s="140" t="s">
        <v>31</v>
      </c>
      <c r="T66" s="50" t="s">
        <v>155</v>
      </c>
      <c r="U66" s="51"/>
      <c r="V66" s="157"/>
      <c r="W66" s="157" t="s">
        <v>327</v>
      </c>
      <c r="X66" s="162">
        <v>4</v>
      </c>
      <c r="Y66" s="162">
        <f>V66+W66+X66</f>
        <v>4004</v>
      </c>
      <c r="Z66" s="162">
        <v>2100</v>
      </c>
      <c r="AA66" s="162">
        <f t="shared" si="30"/>
        <v>2299.5</v>
      </c>
      <c r="AB66" s="91"/>
      <c r="AC66" s="91">
        <f>1700+1375-80-2400</f>
        <v>595</v>
      </c>
      <c r="AD66" s="172">
        <f>AE66-AF66+500</f>
        <v>-1204.5</v>
      </c>
      <c r="AE66" s="172">
        <f>AC66/D66</f>
        <v>297.5</v>
      </c>
      <c r="AF66" s="96">
        <f>Y66/D66</f>
        <v>2002</v>
      </c>
      <c r="AG66" s="88">
        <f t="shared" si="29"/>
        <v>3141</v>
      </c>
      <c r="AH66" s="96"/>
      <c r="AI66" s="176" t="s">
        <v>273</v>
      </c>
      <c r="AJ66" s="206">
        <f>AF66+AI66+550</f>
        <v>3202</v>
      </c>
      <c r="AK66" s="172">
        <f>AJ66-4305</f>
        <v>-1103</v>
      </c>
    </row>
    <row r="67" spans="1:37" ht="12.75">
      <c r="A67" s="109" t="s">
        <v>344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9">
        <v>250</v>
      </c>
      <c r="G67" s="86">
        <f>$G$4</f>
        <v>350</v>
      </c>
      <c r="H67" s="88">
        <f>$G67*10/100</f>
        <v>35</v>
      </c>
      <c r="I67" s="46">
        <f t="shared" si="28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10658</v>
      </c>
      <c r="Q67" s="51" t="s">
        <v>255</v>
      </c>
      <c r="R67" s="196">
        <f>-I67+P67</f>
        <v>-3547</v>
      </c>
      <c r="S67" s="140" t="s">
        <v>31</v>
      </c>
      <c r="T67" s="113" t="s">
        <v>155</v>
      </c>
      <c r="U67" s="112"/>
      <c r="V67" s="158" t="s">
        <v>245</v>
      </c>
      <c r="W67" s="158" t="s">
        <v>329</v>
      </c>
      <c r="X67" s="164">
        <v>6</v>
      </c>
      <c r="Y67" s="162">
        <f>V67+W67+X67</f>
        <v>5706</v>
      </c>
      <c r="Z67" s="162">
        <v>2400</v>
      </c>
      <c r="AA67" s="162">
        <f t="shared" si="30"/>
        <v>1902</v>
      </c>
      <c r="AB67" s="114"/>
      <c r="AC67" s="207">
        <f>3300-3300</f>
        <v>0</v>
      </c>
      <c r="AD67" s="172">
        <f>AE67-AF67+500</f>
        <v>-1402</v>
      </c>
      <c r="AE67" s="172">
        <f>AC67/D67</f>
        <v>0</v>
      </c>
      <c r="AF67" s="96">
        <f>Y67/D67</f>
        <v>1902</v>
      </c>
      <c r="AG67" s="88">
        <f t="shared" si="29"/>
        <v>7059</v>
      </c>
      <c r="AH67" s="96"/>
      <c r="AI67" s="177" t="s">
        <v>263</v>
      </c>
      <c r="AJ67" s="206">
        <f>AF67+AI67+550</f>
        <v>2967</v>
      </c>
      <c r="AK67" s="172">
        <f>AJ67-4305</f>
        <v>-1338</v>
      </c>
    </row>
    <row r="68" spans="1:37" s="15" customFormat="1" ht="12.75">
      <c r="A68" s="212" t="s">
        <v>346</v>
      </c>
      <c r="B68" s="127" t="s">
        <v>80</v>
      </c>
      <c r="C68" s="97" t="s">
        <v>79</v>
      </c>
      <c r="D68" s="213">
        <v>4</v>
      </c>
      <c r="E68" s="204"/>
      <c r="F68" s="85"/>
      <c r="G68" s="86">
        <f>$G$4</f>
        <v>350</v>
      </c>
      <c r="H68" s="88">
        <f>$G68*10/100</f>
        <v>35</v>
      </c>
      <c r="I68" s="87">
        <f t="shared" si="28"/>
        <v>1540</v>
      </c>
      <c r="J68" s="87"/>
      <c r="K68" s="87"/>
      <c r="L68" s="214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5"/>
      <c r="Y68" s="88"/>
      <c r="Z68" s="88"/>
      <c r="AA68" s="162">
        <f t="shared" si="30"/>
        <v>0</v>
      </c>
      <c r="AB68" s="114"/>
      <c r="AC68" s="114"/>
      <c r="AD68" s="91"/>
      <c r="AE68" s="91"/>
      <c r="AF68" s="88"/>
      <c r="AG68" s="88"/>
      <c r="AH68" s="88"/>
      <c r="AI68" s="112" t="s">
        <v>263</v>
      </c>
      <c r="AJ68" s="216">
        <f>AF68+AI68+550</f>
        <v>1065</v>
      </c>
      <c r="AK68" s="91">
        <f>AJ68-4305</f>
        <v>-3240</v>
      </c>
    </row>
    <row r="69" spans="2:36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21"/>
      <c r="AG69" s="21"/>
      <c r="AH69" s="21"/>
      <c r="AI69" s="13"/>
      <c r="AJ69" s="8"/>
    </row>
    <row r="70" spans="1:36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21"/>
      <c r="AG70" s="21"/>
      <c r="AH70" s="21"/>
      <c r="AI70" s="13"/>
      <c r="AJ70" s="8"/>
    </row>
    <row r="71" spans="2:36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21"/>
      <c r="AG71" s="21"/>
      <c r="AH71" s="21"/>
      <c r="AI71" s="13"/>
      <c r="AJ71" s="8"/>
    </row>
    <row r="72" spans="2:36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21"/>
      <c r="AG72" s="21"/>
      <c r="AH72" s="21"/>
      <c r="AI72" s="13"/>
      <c r="AJ72" s="8"/>
    </row>
    <row r="73" spans="2:36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21"/>
      <c r="AG73" s="21"/>
      <c r="AH73" s="21"/>
      <c r="AI73" s="13"/>
      <c r="AJ73" s="8"/>
    </row>
    <row r="74" spans="2:36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21"/>
      <c r="AG74" s="21"/>
      <c r="AH74" s="21"/>
      <c r="AI74" s="13"/>
      <c r="AJ74" s="8"/>
    </row>
    <row r="75" spans="1:36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52"/>
      <c r="AG75" s="52"/>
      <c r="AH75" s="52"/>
      <c r="AI75" s="93"/>
      <c r="AJ75" s="9"/>
    </row>
    <row r="76" spans="1:36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52"/>
      <c r="AG76" s="52"/>
      <c r="AH76" s="52"/>
      <c r="AI76" s="93"/>
      <c r="AJ76" s="9"/>
    </row>
    <row r="77" spans="2:36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21"/>
      <c r="AG77" s="21"/>
      <c r="AH77" s="21"/>
      <c r="AI77" s="13"/>
      <c r="AJ77" s="8"/>
    </row>
    <row r="78" spans="2:36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21"/>
      <c r="AG78" s="21"/>
      <c r="AH78" s="21"/>
      <c r="AI78" s="13"/>
      <c r="AJ78" s="8"/>
    </row>
    <row r="79" spans="2:36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21"/>
      <c r="AG79" s="21"/>
      <c r="AH79" s="21"/>
      <c r="AI79" s="13"/>
      <c r="AJ79" s="8"/>
    </row>
    <row r="80" spans="2:36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21"/>
      <c r="AG80" s="21"/>
      <c r="AH80" s="21"/>
      <c r="AI80" s="13"/>
      <c r="AJ80" s="8"/>
    </row>
    <row r="81" spans="2:36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21"/>
      <c r="AG81" s="21"/>
      <c r="AH81" s="21"/>
      <c r="AI81" s="13"/>
      <c r="AJ81" s="8"/>
    </row>
    <row r="82" spans="2:36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21"/>
      <c r="AG82" s="21"/>
      <c r="AH82" s="21"/>
      <c r="AI82" s="13"/>
      <c r="AJ82" s="8"/>
    </row>
    <row r="83" spans="2:36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21"/>
      <c r="AG83" s="21"/>
      <c r="AH83" s="21"/>
      <c r="AI83" s="13"/>
      <c r="AJ83" s="8"/>
    </row>
    <row r="84" spans="1:36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21"/>
      <c r="AG84" s="21"/>
      <c r="AH84" s="21"/>
      <c r="AI84" s="13"/>
      <c r="AJ84" s="8"/>
    </row>
    <row r="85" spans="2:36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21"/>
      <c r="AG85" s="21"/>
      <c r="AH85" s="21"/>
      <c r="AI85" s="13"/>
      <c r="AJ85" s="8"/>
    </row>
    <row r="86" spans="2:36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21"/>
      <c r="AG86" s="21"/>
      <c r="AH86" s="21"/>
      <c r="AI86" s="13"/>
      <c r="AJ86" s="8"/>
    </row>
    <row r="87" spans="2:36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21"/>
      <c r="AG87" s="21"/>
      <c r="AH87" s="21"/>
      <c r="AI87" s="13"/>
      <c r="AJ87" s="8"/>
    </row>
    <row r="88" spans="2:36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21"/>
      <c r="AG88" s="21"/>
      <c r="AH88" s="21"/>
      <c r="AI88" s="13"/>
      <c r="AJ88" s="8"/>
    </row>
    <row r="89" spans="2:36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21"/>
      <c r="AG89" s="21"/>
      <c r="AH89" s="21"/>
      <c r="AI89" s="13"/>
      <c r="AJ89" s="8"/>
    </row>
    <row r="90" spans="2:36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21"/>
      <c r="AG90" s="21"/>
      <c r="AH90" s="21"/>
      <c r="AI90" s="13"/>
      <c r="AJ90" s="8"/>
    </row>
    <row r="91" spans="2:36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21"/>
      <c r="AG91" s="21"/>
      <c r="AH91" s="21"/>
      <c r="AI91" s="13"/>
      <c r="AJ91" s="8"/>
    </row>
    <row r="92" spans="2:36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21"/>
      <c r="AG92" s="21"/>
      <c r="AH92" s="21"/>
      <c r="AI92" s="13"/>
      <c r="AJ92" s="8"/>
    </row>
    <row r="93" spans="2:36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21"/>
      <c r="AG93" s="21"/>
      <c r="AH93" s="21"/>
      <c r="AI93" s="13"/>
      <c r="AJ93" s="8"/>
    </row>
    <row r="94" spans="2:36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21"/>
      <c r="AG94" s="21"/>
      <c r="AH94" s="21"/>
      <c r="AI94" s="13"/>
      <c r="AJ94" s="8"/>
    </row>
    <row r="95" spans="2:36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21"/>
      <c r="AG95" s="21"/>
      <c r="AH95" s="21"/>
      <c r="AI95" s="13"/>
      <c r="AJ95" s="8"/>
    </row>
    <row r="96" spans="2:36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21"/>
      <c r="AG96" s="21"/>
      <c r="AH96" s="21"/>
      <c r="AI96" s="13"/>
      <c r="AJ96" s="8"/>
    </row>
    <row r="97" spans="2:36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21"/>
      <c r="AG97" s="21"/>
      <c r="AH97" s="21"/>
      <c r="AI97" s="13"/>
      <c r="AJ97" s="8"/>
    </row>
    <row r="98" spans="2:36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21"/>
      <c r="AG98" s="21"/>
      <c r="AH98" s="21"/>
      <c r="AI98" s="13"/>
      <c r="AJ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fitToHeight="1" fitToWidth="1" horizontalDpi="600" verticalDpi="600" orientation="landscape" paperSize="8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2" sqref="M12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81" t="s">
        <v>286</v>
      </c>
      <c r="B1"/>
      <c r="C1" t="s">
        <v>288</v>
      </c>
      <c r="D1" t="s">
        <v>287</v>
      </c>
      <c r="E1" t="s">
        <v>287</v>
      </c>
      <c r="F1"/>
      <c r="G1" t="s">
        <v>287</v>
      </c>
      <c r="H1" t="s">
        <v>287</v>
      </c>
      <c r="I1"/>
      <c r="J1" t="s">
        <v>294</v>
      </c>
      <c r="K1" t="s">
        <v>308</v>
      </c>
      <c r="L1" t="s">
        <v>308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81" t="s">
        <v>128</v>
      </c>
      <c r="E2" s="143" t="s">
        <v>136</v>
      </c>
      <c r="F2"/>
      <c r="G2" s="181" t="s">
        <v>128</v>
      </c>
      <c r="H2" s="143" t="s">
        <v>136</v>
      </c>
      <c r="I2" t="s">
        <v>134</v>
      </c>
      <c r="J2"/>
      <c r="K2" s="181" t="s">
        <v>128</v>
      </c>
      <c r="L2" s="143" t="s">
        <v>136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295</v>
      </c>
      <c r="E3"/>
      <c r="F3"/>
      <c r="G3" t="s">
        <v>296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285</v>
      </c>
      <c r="C4"/>
      <c r="D4" s="183"/>
      <c r="E4" s="183"/>
      <c r="F4" s="146" t="s">
        <v>91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83"/>
      <c r="E5" s="18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83"/>
      <c r="E6" s="18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83"/>
      <c r="E7" s="18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83"/>
      <c r="E8" s="18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83"/>
      <c r="E9" s="18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83"/>
      <c r="E10" s="18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83"/>
      <c r="E11" s="18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83">
        <v>2200</v>
      </c>
      <c r="E12" s="183">
        <v>0</v>
      </c>
      <c r="F12"/>
      <c r="G12">
        <v>2200</v>
      </c>
      <c r="H12">
        <v>0</v>
      </c>
      <c r="I12" t="s">
        <v>91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82" t="s">
        <v>300</v>
      </c>
      <c r="D22" s="142">
        <f>SUM(D12:D21)</f>
        <v>12196</v>
      </c>
      <c r="E22" s="142">
        <f>SUM(E12:E21)</f>
        <v>5473</v>
      </c>
      <c r="F22"/>
      <c r="G22" s="146">
        <f>SUM(G12:G21)</f>
        <v>12162</v>
      </c>
      <c r="H22" s="146">
        <f>SUM(H12:H21)</f>
        <v>5723</v>
      </c>
      <c r="I22" s="146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59" t="s">
        <v>291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298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293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59" t="s">
        <v>291</v>
      </c>
      <c r="D26" s="159"/>
      <c r="E26" s="159"/>
      <c r="F26" s="159"/>
      <c r="G26" s="159">
        <f>5537+8245</f>
        <v>13782</v>
      </c>
      <c r="H26" s="159">
        <f>2503+2720</f>
        <v>5223</v>
      </c>
      <c r="I26" s="178" t="s">
        <v>297</v>
      </c>
      <c r="J26" s="82"/>
      <c r="K26" s="181">
        <f>G26/4</f>
        <v>3445.5</v>
      </c>
      <c r="L26" s="181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 t="s">
        <v>359</v>
      </c>
      <c r="D28"/>
      <c r="E28"/>
      <c r="F28"/>
      <c r="G28">
        <f>G24-G26</f>
        <v>1451</v>
      </c>
      <c r="H28">
        <f>H24-H26</f>
        <v>2524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N10" sqref="N10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299</v>
      </c>
      <c r="B1" s="181"/>
    </row>
    <row r="3" spans="1:7" ht="12.75">
      <c r="A3" t="s">
        <v>285</v>
      </c>
      <c r="B3" s="97" t="s">
        <v>301</v>
      </c>
      <c r="C3" t="s">
        <v>287</v>
      </c>
      <c r="D3" t="s">
        <v>303</v>
      </c>
      <c r="E3" t="s">
        <v>302</v>
      </c>
      <c r="G3" t="s">
        <v>308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284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284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323</v>
      </c>
    </row>
    <row r="26" spans="2:9" ht="12.75">
      <c r="B26">
        <v>12.06</v>
      </c>
      <c r="C26" s="15">
        <v>689</v>
      </c>
      <c r="D26" s="185" t="s">
        <v>24</v>
      </c>
      <c r="E26">
        <v>14.06</v>
      </c>
      <c r="F26" s="193" t="s">
        <v>353</v>
      </c>
      <c r="I26" s="224" t="s">
        <v>358</v>
      </c>
    </row>
    <row r="27" spans="1:9" ht="12.75">
      <c r="A27">
        <v>23</v>
      </c>
      <c r="B27" s="107" t="s">
        <v>331</v>
      </c>
      <c r="C27">
        <f>SUM(C12:C26)</f>
        <v>6726</v>
      </c>
      <c r="D27" s="185" t="s">
        <v>24</v>
      </c>
      <c r="G27">
        <f>C27/2</f>
        <v>3363</v>
      </c>
      <c r="I27" s="224">
        <f>SUM(C23:C26)</f>
        <v>2767</v>
      </c>
    </row>
    <row r="29" spans="1:7" ht="12.75">
      <c r="A29">
        <v>23</v>
      </c>
      <c r="B29" s="159" t="s">
        <v>291</v>
      </c>
      <c r="C29">
        <v>5326</v>
      </c>
      <c r="D29" s="185" t="s">
        <v>24</v>
      </c>
      <c r="E29" s="178" t="s">
        <v>290</v>
      </c>
      <c r="G29">
        <f>C29/2</f>
        <v>2663</v>
      </c>
    </row>
    <row r="31" spans="2:7" ht="12.75">
      <c r="B31" s="159" t="s">
        <v>305</v>
      </c>
      <c r="C31" s="159">
        <v>2019</v>
      </c>
      <c r="D31" s="185" t="s">
        <v>293</v>
      </c>
      <c r="G31">
        <f>C31/2</f>
        <v>1009.5</v>
      </c>
    </row>
    <row r="32" spans="1:7" ht="12.75">
      <c r="A32">
        <v>23</v>
      </c>
      <c r="B32" s="159" t="s">
        <v>291</v>
      </c>
      <c r="C32">
        <f>2019+1903+898+480+700+689</f>
        <v>6689</v>
      </c>
      <c r="D32" s="185" t="s">
        <v>293</v>
      </c>
      <c r="E32" s="10" t="s">
        <v>324</v>
      </c>
      <c r="G32" s="181">
        <f>C32/2</f>
        <v>3344.5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0">
      <selection activeCell="K26" sqref="K26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304</v>
      </c>
      <c r="I4" t="s">
        <v>308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285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251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247</v>
      </c>
      <c r="C27" s="41" t="s">
        <v>248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249</v>
      </c>
      <c r="C28" s="41" t="s">
        <v>259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258</v>
      </c>
      <c r="C29" s="41" t="s">
        <v>250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271</v>
      </c>
      <c r="B30" s="41" t="s">
        <v>260</v>
      </c>
      <c r="C30" s="41" t="s">
        <v>266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261</v>
      </c>
      <c r="C32" s="41" t="s">
        <v>267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264</v>
      </c>
      <c r="C33" s="41" t="s">
        <v>265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272</v>
      </c>
      <c r="B34" s="41" t="s">
        <v>269</v>
      </c>
      <c r="C34" s="41" t="s">
        <v>270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275</v>
      </c>
      <c r="C35" s="41" t="s">
        <v>276</v>
      </c>
      <c r="D35" s="41">
        <v>25000</v>
      </c>
      <c r="E35" s="41" t="s">
        <v>24</v>
      </c>
      <c r="F35" s="82"/>
      <c r="G35" s="41" t="s">
        <v>280</v>
      </c>
      <c r="H35">
        <v>19</v>
      </c>
    </row>
    <row r="36" spans="2:8" ht="12.75">
      <c r="B36" s="178" t="s">
        <v>277</v>
      </c>
      <c r="C36" s="41" t="s">
        <v>278</v>
      </c>
      <c r="D36" s="178">
        <v>25000</v>
      </c>
      <c r="E36" s="41" t="s">
        <v>24</v>
      </c>
      <c r="F36" s="178" t="s">
        <v>284</v>
      </c>
      <c r="G36" s="41" t="s">
        <v>279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281</v>
      </c>
      <c r="C38" s="41" t="s">
        <v>282</v>
      </c>
      <c r="D38" s="178">
        <v>20160</v>
      </c>
      <c r="E38" s="41" t="s">
        <v>24</v>
      </c>
      <c r="F38" s="178" t="s">
        <v>284</v>
      </c>
      <c r="G38" s="41" t="s">
        <v>283</v>
      </c>
      <c r="H38">
        <v>22</v>
      </c>
    </row>
    <row r="39" spans="2:8" ht="12.75">
      <c r="B39" s="178" t="s">
        <v>332</v>
      </c>
      <c r="C39" s="41" t="s">
        <v>282</v>
      </c>
      <c r="D39" s="178">
        <v>12000</v>
      </c>
      <c r="E39" s="41" t="s">
        <v>24</v>
      </c>
      <c r="F39" s="178" t="s">
        <v>284</v>
      </c>
      <c r="G39" s="41" t="s">
        <v>283</v>
      </c>
      <c r="H39" s="15">
        <v>22</v>
      </c>
    </row>
    <row r="40" spans="2:8" ht="12.75">
      <c r="B40" s="82" t="s">
        <v>333</v>
      </c>
      <c r="C40" s="41" t="s">
        <v>334</v>
      </c>
      <c r="D40" s="183">
        <v>15250</v>
      </c>
      <c r="E40" s="41" t="s">
        <v>24</v>
      </c>
      <c r="F40" s="201" t="s">
        <v>323</v>
      </c>
      <c r="G40" s="41" t="s">
        <v>335</v>
      </c>
      <c r="H40">
        <v>23</v>
      </c>
    </row>
    <row r="41" spans="2:8" ht="12.75">
      <c r="B41" s="82" t="s">
        <v>336</v>
      </c>
      <c r="C41" s="41" t="s">
        <v>334</v>
      </c>
      <c r="D41" s="183">
        <v>9660</v>
      </c>
      <c r="E41" s="41" t="s">
        <v>24</v>
      </c>
      <c r="F41" s="201" t="s">
        <v>323</v>
      </c>
      <c r="G41" s="41" t="s">
        <v>335</v>
      </c>
      <c r="H41">
        <v>23</v>
      </c>
    </row>
    <row r="42" spans="2:8" ht="12.75">
      <c r="B42" s="82" t="s">
        <v>354</v>
      </c>
      <c r="C42" s="41" t="s">
        <v>355</v>
      </c>
      <c r="D42" s="183">
        <v>12400</v>
      </c>
      <c r="E42" s="41" t="s">
        <v>24</v>
      </c>
      <c r="F42" s="201" t="s">
        <v>323</v>
      </c>
      <c r="G42" s="41" t="s">
        <v>356</v>
      </c>
      <c r="H42">
        <v>24</v>
      </c>
    </row>
    <row r="43" spans="2:11" ht="12.75">
      <c r="B43" s="82" t="s">
        <v>357</v>
      </c>
      <c r="C43" s="41" t="s">
        <v>355</v>
      </c>
      <c r="D43" s="183">
        <v>12600</v>
      </c>
      <c r="E43" s="41" t="s">
        <v>24</v>
      </c>
      <c r="F43" s="201" t="s">
        <v>323</v>
      </c>
      <c r="G43" s="41" t="s">
        <v>356</v>
      </c>
      <c r="H43">
        <v>24</v>
      </c>
      <c r="K43" s="224" t="s">
        <v>358</v>
      </c>
    </row>
    <row r="44" spans="2:11" ht="12.75">
      <c r="B44" s="107" t="s">
        <v>268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8">
        <f>D44/183</f>
        <v>2226.6939890710382</v>
      </c>
      <c r="K44" s="224">
        <f>SUM(D36:D43)</f>
        <v>107070</v>
      </c>
    </row>
    <row r="45" spans="1:7" ht="12.75">
      <c r="A45" t="s">
        <v>289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291</v>
      </c>
      <c r="C47" s="174"/>
      <c r="D47" s="180">
        <v>347244</v>
      </c>
      <c r="E47" s="41" t="s">
        <v>24</v>
      </c>
      <c r="F47" s="178" t="s">
        <v>290</v>
      </c>
      <c r="G47" s="41"/>
      <c r="I47" s="191">
        <f>D47/183</f>
        <v>1897.5081967213114</v>
      </c>
    </row>
    <row r="48" spans="2:9" ht="12.75">
      <c r="B48" s="174" t="s">
        <v>291</v>
      </c>
      <c r="C48" s="174" t="s">
        <v>276</v>
      </c>
      <c r="D48" s="174">
        <v>169859</v>
      </c>
      <c r="E48" s="41" t="s">
        <v>293</v>
      </c>
      <c r="F48" s="82"/>
      <c r="G48" s="82"/>
      <c r="I48" s="191">
        <f>D48/183</f>
        <v>928.1912568306011</v>
      </c>
    </row>
    <row r="49" spans="2:9" ht="12.75">
      <c r="B49" s="174" t="s">
        <v>291</v>
      </c>
      <c r="C49" s="174"/>
      <c r="D49" s="202">
        <f>346854+9660+15250+12400+12600</f>
        <v>396764</v>
      </c>
      <c r="E49" s="41" t="s">
        <v>293</v>
      </c>
      <c r="F49" s="178" t="s">
        <v>324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292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291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291</v>
      </c>
      <c r="C68" s="174"/>
      <c r="D68" s="174">
        <v>10604</v>
      </c>
      <c r="E68" s="41" t="s">
        <v>293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2006-06-16T06:46:15Z</cp:lastPrinted>
  <dcterms:created xsi:type="dcterms:W3CDTF">2005-04-30T08:59:53Z</dcterms:created>
  <dcterms:modified xsi:type="dcterms:W3CDTF">2006-06-16T13:22:20Z</dcterms:modified>
  <cp:category/>
  <cp:version/>
  <cp:contentType/>
  <cp:contentStatus/>
</cp:coreProperties>
</file>