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'!$A$1:$AG$73</definedName>
    <definedName name="_xlnm.Print_Area" localSheetId="3">'ceramics'!$A$1:$G$31</definedName>
    <definedName name="_xlnm.Print_Area" localSheetId="4">'Spacers'!$A$10:$I$66</definedName>
    <definedName name="_xlnm.Print_Area" localSheetId="1">'Tighteners'!$A$1:$L$26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'!$A$1:$AG$62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X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C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number!
</t>
        </r>
      </text>
    </comment>
    <comment ref="AC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Wrong number
</t>
        </r>
      </text>
    </comment>
    <comment ref="AG1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8.06: 700pc ariived for Sh9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</commentList>
</comments>
</file>

<file path=xl/sharedStrings.xml><?xml version="1.0" encoding="utf-8"?>
<sst xmlns="http://schemas.openxmlformats.org/spreadsheetml/2006/main" count="650" uniqueCount="366">
  <si>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</si>
  <si>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</si>
  <si>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</si>
  <si>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</si>
  <si>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</si>
  <si>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</si>
  <si>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</si>
  <si>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</si>
  <si>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</si>
  <si>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</si>
  <si>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</si>
  <si>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</si>
  <si>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</si>
  <si>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</si>
  <si>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</si>
  <si>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</si>
  <si>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</si>
  <si>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</si>
  <si>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</si>
  <si>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</si>
  <si>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</si>
  <si>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</si>
  <si>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</si>
  <si>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</si>
  <si>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</si>
  <si>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</si>
  <si>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</si>
  <si>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</si>
  <si>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</si>
  <si>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</si>
  <si>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</si>
  <si>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</si>
  <si>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</si>
  <si>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</si>
  <si>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</si>
  <si>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</si>
  <si>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</si>
  <si>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</si>
  <si>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</si>
  <si>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</si>
  <si>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</si>
  <si>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</si>
  <si>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</si>
  <si>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</si>
  <si>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</si>
  <si>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</si>
  <si>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</si>
  <si>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</si>
  <si>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</si>
  <si>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</si>
  <si>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</si>
  <si>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</si>
  <si>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</si>
  <si>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</si>
  <si>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</si>
  <si>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</si>
  <si>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</si>
  <si>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</si>
  <si>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</si>
  <si>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</si>
  <si>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</si>
  <si>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</si>
  <si>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</si>
  <si>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</si>
  <si>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</si>
  <si>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</si>
  <si>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</si>
  <si>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</si>
  <si>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</si>
  <si>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</si>
  <si>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</si>
  <si>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</si>
  <si>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</si>
  <si>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</si>
  <si>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</si>
  <si>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</si>
  <si>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</si>
  <si>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</si>
  <si>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</si>
  <si>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</si>
  <si>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</si>
  <si>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</si>
  <si>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</si>
  <si>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</si>
  <si>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</si>
  <si>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</si>
  <si>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</si>
  <si>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</si>
  <si>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</si>
  <si>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</si>
  <si>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</si>
  <si>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</si>
  <si>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</si>
  <si>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</si>
  <si>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</si>
  <si>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</si>
  <si>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</si>
  <si>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</si>
  <si>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</si>
  <si>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</si>
  <si>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</si>
  <si>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</si>
  <si>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</si>
  <si>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</si>
  <si>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</si>
  <si>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</si>
  <si>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</si>
  <si>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</si>
  <si>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</si>
  <si>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</si>
  <si>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</si>
  <si>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</si>
  <si>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</si>
  <si>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</si>
  <si>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</si>
  <si>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</si>
  <si>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</si>
  <si>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</si>
  <si>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</si>
  <si>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</si>
  <si>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</si>
  <si>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</si>
  <si>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</si>
  <si>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</si>
  <si>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</si>
  <si>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</si>
  <si>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</si>
  <si>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</si>
  <si>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</si>
  <si>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</si>
  <si>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</si>
  <si>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</si>
  <si>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</si>
  <si>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</si>
  <si>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</si>
  <si>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</si>
  <si>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</si>
  <si>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</si>
  <si>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</si>
  <si>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</si>
  <si>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</si>
  <si>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</si>
  <si>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</si>
  <si>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</si>
  <si>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</si>
  <si>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</si>
  <si>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</si>
  <si>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</si>
  <si>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</si>
  <si>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</si>
  <si>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</si>
  <si>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</si>
  <si>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</si>
  <si>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</si>
  <si>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</si>
  <si>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</si>
  <si>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</si>
  <si>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</si>
  <si>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</si>
  <si>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</si>
  <si>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</si>
  <si>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</si>
  <si>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</si>
  <si>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</si>
  <si>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</si>
  <si>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</si>
  <si>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</si>
  <si>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</si>
  <si>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</si>
  <si>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</si>
  <si>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</si>
  <si>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</si>
  <si>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</si>
  <si>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</si>
  <si>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</si>
  <si>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</si>
  <si>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</si>
  <si>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</si>
  <si>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</si>
  <si>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</si>
  <si>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</si>
  <si>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</si>
  <si>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</si>
  <si>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</si>
  <si>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</si>
  <si>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</si>
  <si>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</si>
  <si>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</si>
  <si>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</si>
  <si>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</si>
  <si>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</si>
  <si>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</si>
  <si>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</si>
  <si>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</si>
  <si>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</si>
  <si>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</si>
  <si>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</si>
  <si>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</si>
  <si>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</si>
  <si>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</si>
  <si>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</si>
  <si>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</si>
  <si>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</si>
  <si>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</si>
  <si>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</si>
  <si>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</si>
  <si>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</si>
  <si>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</si>
  <si>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</si>
  <si>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</si>
  <si>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</si>
  <si>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</si>
  <si>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</si>
  <si>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</si>
  <si>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</si>
  <si>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</si>
  <si>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</si>
  <si>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</si>
  <si>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</si>
  <si>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</si>
  <si>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</si>
  <si>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</si>
  <si>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</si>
  <si>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</si>
  <si>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</si>
  <si>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</si>
  <si>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</si>
  <si>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</si>
  <si>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</si>
  <si>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</si>
  <si>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</si>
  <si>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</si>
  <si>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</si>
  <si>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</si>
  <si>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</si>
  <si>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</si>
  <si>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</si>
  <si>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</si>
  <si>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</si>
  <si>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</si>
  <si>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</si>
  <si>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</si>
  <si>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</si>
  <si>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</si>
  <si>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</si>
  <si>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</si>
  <si>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</si>
  <si>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</si>
  <si>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</si>
  <si>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</si>
  <si>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</si>
  <si>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</si>
  <si>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</si>
  <si>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</si>
  <si>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</si>
  <si>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</si>
  <si>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</si>
  <si>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</si>
  <si>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</si>
  <si>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</si>
  <si>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</si>
  <si>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</si>
  <si>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</si>
  <si>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</si>
  <si>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</si>
  <si>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</si>
  <si>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</si>
  <si>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</si>
  <si>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</si>
  <si>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</si>
  <si>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</si>
  <si>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</si>
  <si>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</si>
  <si>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</si>
  <si>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</si>
  <si>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</si>
  <si>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</si>
  <si>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</si>
  <si>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</si>
  <si>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</si>
  <si>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</si>
  <si>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</si>
  <si>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</si>
  <si>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</si>
  <si>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</si>
  <si>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</si>
  <si>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</si>
  <si>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</si>
  <si>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</si>
  <si>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</si>
  <si>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</si>
  <si>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</si>
  <si>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</si>
  <si>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</si>
  <si>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</si>
  <si>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>shipped to Italy/IC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</si>
  <si>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</si>
  <si>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</si>
  <si>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</si>
  <si>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</si>
  <si>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</si>
  <si>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</si>
  <si>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</si>
  <si>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</si>
  <si>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</si>
  <si>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</si>
  <si>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</si>
  <si>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</si>
  <si>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</si>
  <si>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</si>
  <si>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</si>
  <si>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</si>
  <si>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</si>
  <si>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</si>
  <si>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</si>
  <si>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</si>
  <si>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</si>
  <si>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</si>
  <si>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</si>
  <si>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</si>
  <si>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</si>
  <si>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</si>
  <si>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</si>
  <si>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</si>
  <si>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</si>
  <si>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</si>
  <si>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</si>
  <si>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</si>
  <si>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</si>
  <si>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</si>
  <si>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</si>
  <si>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Real in Protvino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</si>
  <si>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</si>
  <si>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</si>
  <si>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</si>
  <si>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</si>
  <si>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</si>
  <si>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</si>
  <si>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</si>
  <si>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</si>
  <si>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</si>
  <si>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</si>
  <si>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</si>
  <si>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</si>
  <si>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</si>
  <si>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</si>
  <si>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</si>
  <si>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</si>
  <si>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</si>
  <si>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</si>
  <si>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</si>
  <si>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</si>
  <si>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</si>
  <si>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</t>
  </si>
  <si>
    <t>In PROTVINO</t>
  </si>
  <si>
    <t>Summary (8.06)</t>
  </si>
  <si>
    <t>20th</t>
  </si>
  <si>
    <t>21th</t>
  </si>
  <si>
    <t>05.06.2006</t>
  </si>
  <si>
    <t>9.06 - arrived</t>
  </si>
  <si>
    <t>22th</t>
  </si>
  <si>
    <r>
      <t xml:space="preserve">Exist in LZ For Shipping#8 </t>
    </r>
    <r>
      <rPr>
        <b/>
        <sz val="10"/>
        <color indexed="12"/>
        <rFont val="Arial"/>
        <family val="2"/>
      </rPr>
      <t>&amp;9</t>
    </r>
  </si>
  <si>
    <t>total needed quantity Pr (IC)</t>
  </si>
  <si>
    <t>order-needed to Pr (IC)</t>
  </si>
  <si>
    <t>received in Pr_IC (11.05):no Sh7,8,9</t>
  </si>
  <si>
    <t>Needed:Exist - 4305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</si>
</sst>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 horizontal="center"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43"/>
  <sheetViews>
    <sheetView tabSelected="1" zoomScale="75" zoomScaleNormal="75" workbookViewId="0" topLeftCell="A1">
      <pane xSplit="1" topLeftCell="Z1" activePane="topRight" state="frozen"/>
      <selection pane="topLeft" activeCell="A10" sqref="A10"/>
      <selection pane="topRight" activeCell="AA51" sqref="AA5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7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4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3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59" t="s">
        <v>362</v>
      </c>
      <c r="K1" s="197" t="s">
        <v>4</v>
      </c>
      <c r="L1" s="33" t="s">
        <v>29</v>
      </c>
      <c r="M1" s="38" t="s">
        <v>135</v>
      </c>
      <c r="N1" s="195" t="s">
        <v>363</v>
      </c>
      <c r="O1" s="33" t="s">
        <v>30</v>
      </c>
      <c r="P1" s="161" t="s">
        <v>364</v>
      </c>
      <c r="Q1" s="33" t="s">
        <v>241</v>
      </c>
      <c r="R1" s="40" t="s">
        <v>16</v>
      </c>
      <c r="S1" s="40" t="s">
        <v>28</v>
      </c>
      <c r="T1" s="39" t="s">
        <v>131</v>
      </c>
      <c r="U1" s="161" t="s">
        <v>242</v>
      </c>
      <c r="V1" s="161" t="s">
        <v>177</v>
      </c>
      <c r="W1" s="170" t="s">
        <v>130</v>
      </c>
      <c r="X1" s="170" t="s">
        <v>262</v>
      </c>
      <c r="Y1" s="171" t="s">
        <v>129</v>
      </c>
      <c r="Z1" s="171" t="s">
        <v>361</v>
      </c>
      <c r="AA1" s="171" t="s">
        <v>282</v>
      </c>
      <c r="AB1" s="171" t="s">
        <v>283</v>
      </c>
      <c r="AC1" s="170" t="s">
        <v>195</v>
      </c>
      <c r="AD1" s="39" t="s">
        <v>295</v>
      </c>
      <c r="AE1" s="198" t="s">
        <v>329</v>
      </c>
      <c r="AF1" s="198" t="s">
        <v>365</v>
      </c>
      <c r="AG1" s="198" t="s">
        <v>331</v>
      </c>
    </row>
    <row r="2" spans="1:31" ht="12.75">
      <c r="A2" s="41"/>
      <c r="B2" s="42" t="s">
        <v>59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5" t="s">
        <v>354</v>
      </c>
      <c r="B3" s="55"/>
      <c r="C3" s="55"/>
      <c r="D3" s="56"/>
      <c r="E3" s="56"/>
      <c r="F3" s="56"/>
      <c r="G3" s="86"/>
      <c r="H3" s="86"/>
      <c r="I3" s="57"/>
      <c r="J3" s="194">
        <v>4305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/>
      <c r="B4" s="60"/>
      <c r="C4" s="55"/>
      <c r="D4" s="56"/>
      <c r="E4" s="45">
        <v>4100</v>
      </c>
      <c r="F4" s="45">
        <f>$E4*5/100</f>
        <v>205</v>
      </c>
      <c r="G4" s="87">
        <v>350</v>
      </c>
      <c r="H4" s="89">
        <f>$G4*10/100</f>
        <v>35</v>
      </c>
      <c r="I4" s="46">
        <f>E4+F4+G4+H4</f>
        <v>4690</v>
      </c>
      <c r="J4" s="214">
        <f>E4+F4</f>
        <v>4305</v>
      </c>
      <c r="K4" s="7"/>
      <c r="L4" s="57"/>
      <c r="M4" s="52"/>
      <c r="N4" s="52"/>
      <c r="O4" s="196"/>
      <c r="P4" s="52" t="s">
        <v>296</v>
      </c>
      <c r="Q4" s="51"/>
      <c r="R4" s="50"/>
      <c r="S4" s="50"/>
      <c r="T4" s="62"/>
      <c r="U4" s="165"/>
      <c r="V4" s="62"/>
      <c r="W4" s="51"/>
      <c r="X4" s="51"/>
      <c r="Y4" s="52"/>
      <c r="Z4" s="52"/>
      <c r="AA4" s="52"/>
      <c r="AB4" s="52"/>
      <c r="AC4" s="160">
        <v>4020</v>
      </c>
      <c r="AD4" s="62"/>
      <c r="AE4" s="9"/>
    </row>
    <row r="5" spans="1:31" ht="12.75">
      <c r="A5" s="63" t="s">
        <v>62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5"/>
    </row>
    <row r="6" spans="1:31" ht="12.75">
      <c r="A6" s="75" t="s">
        <v>157</v>
      </c>
      <c r="B6" s="43" t="s">
        <v>47</v>
      </c>
      <c r="C6" s="76" t="s">
        <v>32</v>
      </c>
      <c r="D6" s="77">
        <v>1</v>
      </c>
      <c r="E6" s="45">
        <f>$E$4</f>
        <v>4100</v>
      </c>
      <c r="F6" s="45">
        <f>$E6*5/100</f>
        <v>205</v>
      </c>
      <c r="G6" s="87"/>
      <c r="H6" s="86"/>
      <c r="I6" s="46">
        <f>D6*(E6+F6+G6+H6)</f>
        <v>4305</v>
      </c>
      <c r="J6" s="156">
        <f>D6*J4</f>
        <v>4305</v>
      </c>
      <c r="K6" s="78">
        <v>3800</v>
      </c>
      <c r="L6" s="47" t="s">
        <v>101</v>
      </c>
      <c r="M6" s="79">
        <f aca="true" t="shared" si="0" ref="M6:M11">-I6+K6</f>
        <v>-505</v>
      </c>
      <c r="N6" s="134">
        <f>-J6+K6-50*D6</f>
        <v>-555</v>
      </c>
      <c r="O6" s="98">
        <v>4133</v>
      </c>
      <c r="P6" s="51" t="s">
        <v>338</v>
      </c>
      <c r="Q6" s="177">
        <f aca="true" t="shared" si="1" ref="Q6:Q61">-I6+O6</f>
        <v>-172</v>
      </c>
      <c r="R6" s="145" t="s">
        <v>31</v>
      </c>
      <c r="S6" s="50" t="s">
        <v>112</v>
      </c>
      <c r="T6" s="51"/>
      <c r="U6" s="162"/>
      <c r="V6" s="162" t="s">
        <v>178</v>
      </c>
      <c r="W6" s="167">
        <v>1394</v>
      </c>
      <c r="X6" s="167">
        <f>V6+W6</f>
        <v>3773</v>
      </c>
      <c r="Y6" s="152">
        <f>X6-J6</f>
        <v>-532</v>
      </c>
      <c r="Z6" s="92">
        <v>0</v>
      </c>
      <c r="AA6" s="152">
        <f>Z6+Y6</f>
        <v>-532</v>
      </c>
      <c r="AB6" s="92"/>
      <c r="AC6" s="89">
        <f>X6/D6</f>
        <v>3773</v>
      </c>
      <c r="AD6" s="90"/>
      <c r="AE6" s="9"/>
    </row>
    <row r="7" spans="1:31" s="15" customFormat="1" ht="12.75">
      <c r="A7" s="101" t="s">
        <v>158</v>
      </c>
      <c r="B7" s="84"/>
      <c r="C7" s="133" t="s">
        <v>32</v>
      </c>
      <c r="D7" s="85">
        <v>1</v>
      </c>
      <c r="E7" s="85"/>
      <c r="F7" s="85"/>
      <c r="G7" s="87">
        <f>$G$4</f>
        <v>350</v>
      </c>
      <c r="H7" s="89">
        <f>$G7*10/100</f>
        <v>35</v>
      </c>
      <c r="I7" s="88">
        <f>D7*(E7+F7+G7+H7)</f>
        <v>385</v>
      </c>
      <c r="J7" s="88"/>
      <c r="K7" s="88">
        <v>310</v>
      </c>
      <c r="L7" s="89" t="s">
        <v>101</v>
      </c>
      <c r="M7" s="134">
        <f t="shared" si="0"/>
        <v>-75</v>
      </c>
      <c r="N7" s="134"/>
      <c r="O7" s="89">
        <v>118</v>
      </c>
      <c r="P7" s="90"/>
      <c r="Q7" s="134">
        <f>-I7+O7</f>
        <v>-267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46</v>
      </c>
      <c r="B8" s="42" t="s">
        <v>159</v>
      </c>
      <c r="C8" s="76" t="s">
        <v>32</v>
      </c>
      <c r="D8" s="44">
        <v>1</v>
      </c>
      <c r="E8" s="45">
        <f>$E$4</f>
        <v>4100</v>
      </c>
      <c r="F8" s="45">
        <f>$E8*5/100</f>
        <v>205</v>
      </c>
      <c r="G8" s="87">
        <f>$G$4</f>
        <v>350</v>
      </c>
      <c r="H8" s="89">
        <f>$G8*10/100</f>
        <v>35</v>
      </c>
      <c r="I8" s="46">
        <f>D8*(E8+F8+G8+H8)</f>
        <v>4690</v>
      </c>
      <c r="J8" s="156">
        <f>J4*D8</f>
        <v>4305</v>
      </c>
      <c r="K8" s="78">
        <v>4110</v>
      </c>
      <c r="L8" s="47" t="s">
        <v>101</v>
      </c>
      <c r="M8" s="79">
        <f t="shared" si="0"/>
        <v>-580</v>
      </c>
      <c r="N8" s="134">
        <f>-J8+K8-50*D8</f>
        <v>-245</v>
      </c>
      <c r="O8" s="98">
        <v>4271</v>
      </c>
      <c r="P8" s="90" t="s">
        <v>344</v>
      </c>
      <c r="Q8" s="177">
        <f t="shared" si="1"/>
        <v>-419</v>
      </c>
      <c r="R8" s="145" t="s">
        <v>31</v>
      </c>
      <c r="S8" s="50" t="s">
        <v>112</v>
      </c>
      <c r="T8" s="51"/>
      <c r="U8" s="162"/>
      <c r="V8" s="162" t="s">
        <v>179</v>
      </c>
      <c r="W8" s="167">
        <v>1500</v>
      </c>
      <c r="X8" s="167">
        <f>V8+W8</f>
        <v>3818</v>
      </c>
      <c r="Y8" s="152">
        <f>X8-J8</f>
        <v>-487</v>
      </c>
      <c r="Z8" s="92">
        <v>0</v>
      </c>
      <c r="AA8" s="152">
        <f>Z8+Y8</f>
        <v>-487</v>
      </c>
      <c r="AB8" s="152"/>
      <c r="AC8" s="180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4"/>
      <c r="N9" s="134"/>
      <c r="O9" s="89"/>
      <c r="P9" s="90"/>
      <c r="Q9" s="80"/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3" ht="12.75">
      <c r="A10" s="75" t="s">
        <v>160</v>
      </c>
      <c r="B10" s="55"/>
      <c r="C10" s="55"/>
      <c r="D10" s="56">
        <v>2</v>
      </c>
      <c r="E10" s="45">
        <f>E4-50</f>
        <v>4050</v>
      </c>
      <c r="F10" s="45">
        <f>$E10*5/100</f>
        <v>202.5</v>
      </c>
      <c r="G10" s="86"/>
      <c r="H10" s="86"/>
      <c r="I10" s="46">
        <f>D10*(E10+F10+G10+H10)</f>
        <v>8505</v>
      </c>
      <c r="J10" s="157">
        <f>J4*D10</f>
        <v>8610</v>
      </c>
      <c r="K10" s="78">
        <v>7110</v>
      </c>
      <c r="L10" s="94" t="s">
        <v>98</v>
      </c>
      <c r="M10" s="79">
        <f t="shared" si="0"/>
        <v>-1395</v>
      </c>
      <c r="N10" s="134">
        <f>-J10+K10-50*D10</f>
        <v>-1600</v>
      </c>
      <c r="O10" s="98">
        <f>X10+576+Z10</f>
        <v>6602</v>
      </c>
      <c r="P10" s="51" t="s">
        <v>341</v>
      </c>
      <c r="Q10" s="177">
        <f t="shared" si="1"/>
        <v>-1903</v>
      </c>
      <c r="R10" s="50"/>
      <c r="S10" s="50" t="s">
        <v>24</v>
      </c>
      <c r="T10" s="95"/>
      <c r="U10" s="162" t="s">
        <v>244</v>
      </c>
      <c r="V10" s="162" t="s">
        <v>272</v>
      </c>
      <c r="W10" s="167">
        <v>0</v>
      </c>
      <c r="X10" s="167">
        <f>U10+V10+W10+1909</f>
        <v>3948</v>
      </c>
      <c r="Y10" s="152">
        <f>X10-J10</f>
        <v>-4662</v>
      </c>
      <c r="Z10" s="212">
        <f>898+480+700</f>
        <v>2078</v>
      </c>
      <c r="AA10" s="152">
        <f>Z10+Y10</f>
        <v>-2584</v>
      </c>
      <c r="AB10" s="92">
        <f>Z10/D10</f>
        <v>1039</v>
      </c>
      <c r="AC10" s="180">
        <f>X10/D10+AB10</f>
        <v>3013</v>
      </c>
      <c r="AD10" s="107"/>
      <c r="AE10" s="9"/>
      <c r="AG10" s="189">
        <v>3000</v>
      </c>
    </row>
    <row r="11" spans="1:31" s="15" customFormat="1" ht="12.75">
      <c r="A11" s="101" t="s">
        <v>161</v>
      </c>
      <c r="B11" s="84"/>
      <c r="C11" s="84" t="s">
        <v>58</v>
      </c>
      <c r="D11" s="85">
        <v>1</v>
      </c>
      <c r="E11" s="85"/>
      <c r="F11" s="85"/>
      <c r="G11" s="87">
        <f>$G$4</f>
        <v>350</v>
      </c>
      <c r="H11" s="89">
        <f>$G11*10/100</f>
        <v>35</v>
      </c>
      <c r="I11" s="88">
        <f>D11*(E11+F11+G11+H11)</f>
        <v>385</v>
      </c>
      <c r="J11" s="88"/>
      <c r="K11" s="88"/>
      <c r="L11" s="102"/>
      <c r="M11" s="134">
        <f t="shared" si="0"/>
        <v>-385</v>
      </c>
      <c r="N11" s="134"/>
      <c r="O11" s="83"/>
      <c r="P11" s="107"/>
      <c r="Q11" s="134">
        <f t="shared" si="1"/>
        <v>-385</v>
      </c>
      <c r="R11" s="91"/>
      <c r="S11" s="91"/>
      <c r="T11" s="107"/>
      <c r="U11" s="107"/>
      <c r="V11" s="107"/>
      <c r="W11" s="83"/>
      <c r="X11" s="83"/>
      <c r="Y11" s="92"/>
      <c r="Z11" s="92"/>
      <c r="AA11" s="92"/>
      <c r="AB11" s="92"/>
      <c r="AC11" s="89"/>
      <c r="AD11" s="107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4"/>
      <c r="N12" s="134"/>
      <c r="O12" s="83"/>
      <c r="P12" s="95"/>
      <c r="Q12" s="80"/>
      <c r="R12" s="50"/>
      <c r="S12" s="50"/>
      <c r="T12" s="95"/>
      <c r="U12" s="107"/>
      <c r="V12" s="107"/>
      <c r="W12" s="83"/>
      <c r="X12" s="83"/>
      <c r="Y12" s="81"/>
      <c r="Z12" s="81"/>
      <c r="AA12" s="81"/>
      <c r="AB12" s="81"/>
      <c r="AC12" s="52"/>
      <c r="AD12" s="107"/>
      <c r="AE12" s="9"/>
    </row>
    <row r="13" spans="1:33" ht="12.75">
      <c r="A13" s="82" t="s">
        <v>162</v>
      </c>
      <c r="B13" s="60" t="s">
        <v>57</v>
      </c>
      <c r="C13" s="60" t="s">
        <v>257</v>
      </c>
      <c r="D13" s="61">
        <v>61</v>
      </c>
      <c r="E13" s="45">
        <f>$E$4</f>
        <v>4100</v>
      </c>
      <c r="F13" s="45">
        <f>$E13*5/100</f>
        <v>205</v>
      </c>
      <c r="G13" s="86"/>
      <c r="H13" s="86"/>
      <c r="I13" s="46">
        <f>D13*(E13+F13+G13+H13)</f>
        <v>262605</v>
      </c>
      <c r="J13" s="157">
        <f>J4*D13</f>
        <v>262605</v>
      </c>
      <c r="K13" s="78">
        <v>208020</v>
      </c>
      <c r="L13" s="46" t="s">
        <v>98</v>
      </c>
      <c r="M13" s="79">
        <f>-I13+K13-I14+K14</f>
        <v>-55355</v>
      </c>
      <c r="N13" s="134">
        <f>-J13+K13-50*D13</f>
        <v>-57635</v>
      </c>
      <c r="O13" s="78">
        <f>X13</f>
        <v>207126</v>
      </c>
      <c r="P13" s="90" t="s">
        <v>328</v>
      </c>
      <c r="Q13" s="177">
        <f t="shared" si="1"/>
        <v>-55479</v>
      </c>
      <c r="R13" s="50"/>
      <c r="S13" s="50" t="s">
        <v>24</v>
      </c>
      <c r="T13" s="49" t="s">
        <v>133</v>
      </c>
      <c r="U13" s="162" t="s">
        <v>249</v>
      </c>
      <c r="V13" s="162" t="s">
        <v>328</v>
      </c>
      <c r="W13" s="168">
        <v>0</v>
      </c>
      <c r="X13" s="167">
        <f>U13+V13+W13</f>
        <v>207126</v>
      </c>
      <c r="Y13" s="152">
        <f>X13-J13</f>
        <v>-55479</v>
      </c>
      <c r="Z13" s="92">
        <v>0</v>
      </c>
      <c r="AA13" s="152">
        <f>Z13+Y13</f>
        <v>-55479</v>
      </c>
      <c r="AB13" s="92">
        <f>Z13/D13</f>
        <v>0</v>
      </c>
      <c r="AC13" s="180">
        <f>X13/D13+AB13</f>
        <v>3395.5081967213114</v>
      </c>
      <c r="AD13" s="90"/>
      <c r="AE13" s="9"/>
      <c r="AG13">
        <v>3396</v>
      </c>
    </row>
    <row r="14" spans="1:31" s="15" customFormat="1" ht="12.75">
      <c r="A14" s="83" t="s">
        <v>163</v>
      </c>
      <c r="B14" s="99" t="s">
        <v>57</v>
      </c>
      <c r="C14" s="99" t="s">
        <v>58</v>
      </c>
      <c r="D14" s="87">
        <v>2</v>
      </c>
      <c r="E14" s="87"/>
      <c r="F14" s="87"/>
      <c r="G14" s="87">
        <f>$G$4</f>
        <v>350</v>
      </c>
      <c r="H14" s="89">
        <f>$G14*10/100</f>
        <v>35</v>
      </c>
      <c r="I14" s="88">
        <f>D14*(E14+F14+G14+H14)</f>
        <v>770</v>
      </c>
      <c r="J14" s="88"/>
      <c r="K14" s="88">
        <v>0</v>
      </c>
      <c r="L14" s="88"/>
      <c r="M14" s="134"/>
      <c r="N14" s="134"/>
      <c r="O14" s="88"/>
      <c r="P14" s="90"/>
      <c r="Q14" s="134">
        <f t="shared" si="1"/>
        <v>-770</v>
      </c>
      <c r="R14" s="91"/>
      <c r="S14" s="91"/>
      <c r="T14" s="90" t="s">
        <v>133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4"/>
      <c r="N15" s="134"/>
      <c r="O15" s="88"/>
      <c r="P15" s="90"/>
      <c r="Q15" s="134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3" ht="12.75">
      <c r="A16" s="75" t="s">
        <v>20</v>
      </c>
      <c r="B16" s="43" t="s">
        <v>61</v>
      </c>
      <c r="C16" s="99" t="s">
        <v>60</v>
      </c>
      <c r="D16" s="44">
        <v>183</v>
      </c>
      <c r="E16" s="45">
        <f>$E$4</f>
        <v>4100</v>
      </c>
      <c r="F16" s="45">
        <f>$E16*5/100</f>
        <v>205</v>
      </c>
      <c r="G16" s="87"/>
      <c r="H16" s="86"/>
      <c r="I16" s="46">
        <f>D16*(E16+F16+G16+H16)+D17*(E17+F17+G17+H17)</f>
        <v>791280</v>
      </c>
      <c r="J16" s="157">
        <f>J4*D16</f>
        <v>787815</v>
      </c>
      <c r="K16" s="78">
        <v>698300</v>
      </c>
      <c r="L16" s="47" t="s">
        <v>99</v>
      </c>
      <c r="M16" s="79">
        <f>-I16+K16-I17+K17</f>
        <v>-92980</v>
      </c>
      <c r="N16" s="134">
        <f>-J16+K16-50*D16</f>
        <v>-98665</v>
      </c>
      <c r="O16" s="98">
        <f>X16+1000+48075+Z16</f>
        <v>421229</v>
      </c>
      <c r="P16" s="51" t="s">
        <v>335</v>
      </c>
      <c r="Q16" s="177">
        <f t="shared" si="1"/>
        <v>-370051</v>
      </c>
      <c r="R16" s="145" t="s">
        <v>31</v>
      </c>
      <c r="S16" s="50" t="s">
        <v>137</v>
      </c>
      <c r="T16" s="90" t="s">
        <v>41</v>
      </c>
      <c r="U16" s="162" t="s">
        <v>250</v>
      </c>
      <c r="V16" s="162" t="s">
        <v>273</v>
      </c>
      <c r="W16" s="167">
        <v>1830</v>
      </c>
      <c r="X16" s="167">
        <f>U16+V16+W16+119835</f>
        <v>290084</v>
      </c>
      <c r="Y16" s="178">
        <f>X16-J16</f>
        <v>-497731</v>
      </c>
      <c r="Z16" s="212">
        <f>25000+32160+15250+9660</f>
        <v>82070</v>
      </c>
      <c r="AA16" s="152">
        <f>Z16+Y16</f>
        <v>-415661</v>
      </c>
      <c r="AB16" s="92">
        <f>Z16/D16</f>
        <v>448.46994535519127</v>
      </c>
      <c r="AC16" s="180">
        <f>X16/D16+AB16</f>
        <v>2033.6284153005463</v>
      </c>
      <c r="AD16" s="90"/>
      <c r="AE16" s="9"/>
      <c r="AG16" s="189">
        <v>2031</v>
      </c>
    </row>
    <row r="17" spans="1:31" s="15" customFormat="1" ht="12.75">
      <c r="A17" s="101" t="s">
        <v>164</v>
      </c>
      <c r="B17" s="84" t="s">
        <v>61</v>
      </c>
      <c r="C17" s="99" t="s">
        <v>60</v>
      </c>
      <c r="D17" s="85">
        <v>9</v>
      </c>
      <c r="E17" s="86"/>
      <c r="F17" s="86"/>
      <c r="G17" s="87">
        <f>$G$4</f>
        <v>350</v>
      </c>
      <c r="H17" s="89">
        <f>$G17*10/100</f>
        <v>35</v>
      </c>
      <c r="I17" s="88"/>
      <c r="J17" s="88"/>
      <c r="K17" s="88"/>
      <c r="L17" s="89"/>
      <c r="M17" s="134"/>
      <c r="N17" s="134"/>
      <c r="O17" s="89"/>
      <c r="P17" s="90"/>
      <c r="Q17" s="134" t="s">
        <v>247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1" t="s">
        <v>165</v>
      </c>
      <c r="B18" s="84" t="s">
        <v>61</v>
      </c>
      <c r="C18" s="99" t="s">
        <v>60</v>
      </c>
      <c r="D18" s="85">
        <v>3</v>
      </c>
      <c r="E18" s="87"/>
      <c r="F18" s="85"/>
      <c r="G18" s="87">
        <f>$G$4</f>
        <v>350</v>
      </c>
      <c r="H18" s="89">
        <f>$G18*10/100</f>
        <v>35</v>
      </c>
      <c r="I18" s="88">
        <f>D18*(E18+F18+G18+H18)</f>
        <v>1155</v>
      </c>
      <c r="J18" s="88"/>
      <c r="K18" s="102">
        <v>930</v>
      </c>
      <c r="L18" s="89" t="s">
        <v>99</v>
      </c>
      <c r="M18" s="134">
        <f>-I18+K18</f>
        <v>-225</v>
      </c>
      <c r="N18" s="134"/>
      <c r="O18" s="89">
        <f>948</f>
        <v>948</v>
      </c>
      <c r="P18" s="90"/>
      <c r="Q18" s="134">
        <f t="shared" si="1"/>
        <v>-207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3" ht="12.75">
      <c r="A19" s="75" t="s">
        <v>21</v>
      </c>
      <c r="B19" s="43" t="s">
        <v>61</v>
      </c>
      <c r="C19" s="99" t="s">
        <v>60</v>
      </c>
      <c r="D19" s="44">
        <v>6</v>
      </c>
      <c r="E19" s="45">
        <f>$E$4</f>
        <v>4100</v>
      </c>
      <c r="F19" s="45">
        <f>$E19*5/100</f>
        <v>205</v>
      </c>
      <c r="G19" s="87"/>
      <c r="H19" s="86"/>
      <c r="I19" s="46">
        <f>D19*(E19+F19+G19+H19)</f>
        <v>25830</v>
      </c>
      <c r="J19" s="157">
        <f>J4*D19</f>
        <v>25830</v>
      </c>
      <c r="K19" s="100">
        <v>22800</v>
      </c>
      <c r="L19" s="47" t="s">
        <v>99</v>
      </c>
      <c r="M19" s="79">
        <f>-I19+K19</f>
        <v>-3030</v>
      </c>
      <c r="N19" s="134">
        <f>-J19+K19-50*D19</f>
        <v>-3330</v>
      </c>
      <c r="O19" s="98">
        <f>X19+Z19</f>
        <v>10625</v>
      </c>
      <c r="P19" s="51" t="s">
        <v>336</v>
      </c>
      <c r="Q19" s="177">
        <f t="shared" si="1"/>
        <v>-15205</v>
      </c>
      <c r="R19" s="145" t="s">
        <v>31</v>
      </c>
      <c r="S19" s="50" t="s">
        <v>137</v>
      </c>
      <c r="T19" s="90" t="s">
        <v>41</v>
      </c>
      <c r="U19" s="162" t="s">
        <v>251</v>
      </c>
      <c r="V19" s="162" t="s">
        <v>181</v>
      </c>
      <c r="W19" s="167">
        <v>60</v>
      </c>
      <c r="X19" s="167">
        <f>U19+V19+W19</f>
        <v>10625</v>
      </c>
      <c r="Y19" s="178">
        <f>X19-J19</f>
        <v>-15205</v>
      </c>
      <c r="Z19" s="92">
        <v>0</v>
      </c>
      <c r="AA19" s="152">
        <f>Z19+Y19</f>
        <v>-15205</v>
      </c>
      <c r="AB19" s="92">
        <f>Z19/D19</f>
        <v>0</v>
      </c>
      <c r="AC19" s="180">
        <f>X19/D19+AB19</f>
        <v>1770.8333333333333</v>
      </c>
      <c r="AD19" s="90"/>
      <c r="AE19" s="9"/>
      <c r="AG19" s="189">
        <v>1767</v>
      </c>
    </row>
    <row r="20" spans="1:31" s="15" customFormat="1" ht="12.75">
      <c r="A20" s="101"/>
      <c r="B20" s="84"/>
      <c r="C20" s="99"/>
      <c r="D20" s="85"/>
      <c r="E20" s="86"/>
      <c r="F20" s="86"/>
      <c r="G20" s="87"/>
      <c r="H20" s="86"/>
      <c r="I20" s="88"/>
      <c r="J20" s="88"/>
      <c r="K20" s="102"/>
      <c r="L20" s="89"/>
      <c r="M20" s="134"/>
      <c r="N20" s="134"/>
      <c r="O20" s="89"/>
      <c r="P20" s="90"/>
      <c r="Q20" s="134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69</v>
      </c>
      <c r="B21" s="43" t="s">
        <v>68</v>
      </c>
      <c r="C21" s="60" t="s">
        <v>73</v>
      </c>
      <c r="D21" s="44">
        <v>1</v>
      </c>
      <c r="E21" s="45">
        <f>$E$4</f>
        <v>4100</v>
      </c>
      <c r="F21" s="45">
        <f>$E21*5/100</f>
        <v>205</v>
      </c>
      <c r="G21" s="87">
        <f>$G$4</f>
        <v>350</v>
      </c>
      <c r="H21" s="89">
        <f>$G21*10/100</f>
        <v>35</v>
      </c>
      <c r="I21" s="46">
        <f>D21*(E21+F21+G21+H21)</f>
        <v>4690</v>
      </c>
      <c r="J21" s="157">
        <f>J4*D21</f>
        <v>4305</v>
      </c>
      <c r="K21" s="78">
        <v>4110</v>
      </c>
      <c r="L21" s="47" t="s">
        <v>99</v>
      </c>
      <c r="M21" s="79">
        <f>-I21+K21</f>
        <v>-580</v>
      </c>
      <c r="N21" s="134">
        <f>-J21+K21-50*D21</f>
        <v>-245</v>
      </c>
      <c r="O21" s="98">
        <f>X21+Z21</f>
        <v>4432</v>
      </c>
      <c r="P21" s="90" t="s">
        <v>332</v>
      </c>
      <c r="Q21" s="204">
        <f t="shared" si="1"/>
        <v>-258</v>
      </c>
      <c r="R21" s="50"/>
      <c r="S21" s="50" t="s">
        <v>24</v>
      </c>
      <c r="T21" s="49" t="s">
        <v>133</v>
      </c>
      <c r="U21" s="162" t="s">
        <v>243</v>
      </c>
      <c r="V21" s="162" t="s">
        <v>182</v>
      </c>
      <c r="W21" s="167">
        <v>50</v>
      </c>
      <c r="X21" s="167">
        <f>U21+V21+W21</f>
        <v>4432</v>
      </c>
      <c r="Y21" s="152">
        <f>X21-J21</f>
        <v>127</v>
      </c>
      <c r="Z21" s="152"/>
      <c r="AA21" s="152"/>
      <c r="AB21" s="152"/>
      <c r="AC21" s="172">
        <f>X21/D21</f>
        <v>4432</v>
      </c>
      <c r="AD21" s="90"/>
      <c r="AE21" s="9"/>
    </row>
    <row r="22" spans="1:33" ht="12.75">
      <c r="A22" s="75" t="s">
        <v>70</v>
      </c>
      <c r="B22" s="43" t="s">
        <v>72</v>
      </c>
      <c r="C22" s="60" t="s">
        <v>71</v>
      </c>
      <c r="D22" s="44">
        <v>1</v>
      </c>
      <c r="E22" s="45">
        <f>$E$4</f>
        <v>4100</v>
      </c>
      <c r="F22" s="45">
        <f>$E22*5/100</f>
        <v>205</v>
      </c>
      <c r="G22" s="87"/>
      <c r="H22" s="86"/>
      <c r="I22" s="46">
        <f>D22*(E22+F22+G22+H22)</f>
        <v>4305</v>
      </c>
      <c r="J22" s="157">
        <f>J4*D22</f>
        <v>4305</v>
      </c>
      <c r="K22" s="78">
        <v>3800</v>
      </c>
      <c r="L22" s="47" t="s">
        <v>99</v>
      </c>
      <c r="M22" s="79">
        <f>-I22+K22</f>
        <v>-505</v>
      </c>
      <c r="N22" s="134">
        <f>-J22+K22-50*D22</f>
        <v>-555</v>
      </c>
      <c r="O22" s="98">
        <f>X22+Z22</f>
        <v>3592</v>
      </c>
      <c r="P22" s="90" t="s">
        <v>333</v>
      </c>
      <c r="Q22" s="204">
        <f t="shared" si="1"/>
        <v>-713</v>
      </c>
      <c r="R22" s="50"/>
      <c r="S22" s="50" t="s">
        <v>24</v>
      </c>
      <c r="T22" s="49" t="s">
        <v>136</v>
      </c>
      <c r="U22" s="162" t="s">
        <v>243</v>
      </c>
      <c r="V22" s="162" t="s">
        <v>183</v>
      </c>
      <c r="W22" s="167">
        <v>10</v>
      </c>
      <c r="X22" s="167">
        <f>U22+V22+W22</f>
        <v>3592</v>
      </c>
      <c r="Y22" s="178">
        <f>X22-J22</f>
        <v>-713</v>
      </c>
      <c r="Z22" s="92">
        <v>0</v>
      </c>
      <c r="AA22" s="152">
        <f>Z22+Y22</f>
        <v>-713</v>
      </c>
      <c r="AB22" s="92">
        <f>Z22/D22</f>
        <v>0</v>
      </c>
      <c r="AC22" s="180">
        <f>X22/D22</f>
        <v>3592</v>
      </c>
      <c r="AD22" s="90"/>
      <c r="AE22" s="9"/>
      <c r="AG22" s="90" t="s">
        <v>333</v>
      </c>
    </row>
    <row r="23" spans="1:31" ht="12.75">
      <c r="A23" s="103" t="s">
        <v>22</v>
      </c>
      <c r="B23" s="64"/>
      <c r="C23" s="65"/>
      <c r="D23" s="66"/>
      <c r="E23" s="66"/>
      <c r="F23" s="104"/>
      <c r="G23" s="66"/>
      <c r="H23" s="104"/>
      <c r="I23" s="68"/>
      <c r="J23" s="68"/>
      <c r="K23" s="68"/>
      <c r="L23" s="69"/>
      <c r="M23" s="68"/>
      <c r="N23" s="68"/>
      <c r="O23" s="105"/>
      <c r="P23" s="68"/>
      <c r="Q23" s="105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6"/>
      <c r="AD23" s="73"/>
      <c r="AE23" s="15"/>
    </row>
    <row r="24" spans="1:33" ht="12.75">
      <c r="A24" s="75" t="s">
        <v>84</v>
      </c>
      <c r="B24" s="43" t="s">
        <v>82</v>
      </c>
      <c r="C24" s="84"/>
      <c r="D24" s="44">
        <v>2</v>
      </c>
      <c r="E24" s="45">
        <f>$E$4</f>
        <v>4100</v>
      </c>
      <c r="F24" s="45">
        <f>$E24*5/100</f>
        <v>205</v>
      </c>
      <c r="G24" s="87"/>
      <c r="H24" s="86"/>
      <c r="I24" s="46">
        <f>D24*(E24+F24+G24+H24)</f>
        <v>8610</v>
      </c>
      <c r="J24" s="157">
        <f>J4*D24</f>
        <v>8610</v>
      </c>
      <c r="K24" s="78">
        <f>(3800*2)+100</f>
        <v>7700</v>
      </c>
      <c r="L24" s="47" t="s">
        <v>99</v>
      </c>
      <c r="M24" s="79">
        <f>-I24+K24</f>
        <v>-910</v>
      </c>
      <c r="N24" s="134">
        <f>-J24+K24-50*D24</f>
        <v>-1010</v>
      </c>
      <c r="O24" s="205">
        <f>X24+1018+1144+Z24</f>
        <v>9909</v>
      </c>
      <c r="P24" s="90" t="s">
        <v>275</v>
      </c>
      <c r="Q24" s="177">
        <f>-J24+AG24*D24</f>
        <v>-3388</v>
      </c>
      <c r="R24" s="91"/>
      <c r="S24" s="50" t="s">
        <v>24</v>
      </c>
      <c r="T24" s="107"/>
      <c r="U24" s="162" t="s">
        <v>253</v>
      </c>
      <c r="V24" s="162" t="s">
        <v>274</v>
      </c>
      <c r="W24" s="167">
        <v>0</v>
      </c>
      <c r="X24" s="206">
        <f>U24+V24+W24+5240</f>
        <v>7747</v>
      </c>
      <c r="Y24" s="207">
        <f>X24-J24</f>
        <v>-863</v>
      </c>
      <c r="Z24" s="92"/>
      <c r="AA24" s="152">
        <f>Z24+Y24</f>
        <v>-863</v>
      </c>
      <c r="AB24" s="209">
        <f>Z24/D24</f>
        <v>0</v>
      </c>
      <c r="AC24" s="208">
        <f>X24/D24+AB24</f>
        <v>3873.5</v>
      </c>
      <c r="AD24" s="107"/>
      <c r="AE24" s="15"/>
      <c r="AG24" s="200">
        <v>2611</v>
      </c>
    </row>
    <row r="25" spans="1:33" ht="12.75">
      <c r="A25" s="75" t="s">
        <v>83</v>
      </c>
      <c r="B25" s="43" t="s">
        <v>82</v>
      </c>
      <c r="C25" s="55"/>
      <c r="D25" s="44">
        <v>4</v>
      </c>
      <c r="E25" s="45">
        <f>$E$4</f>
        <v>4100</v>
      </c>
      <c r="F25" s="45">
        <f>$E25*5/100</f>
        <v>205</v>
      </c>
      <c r="G25" s="87"/>
      <c r="H25" s="86"/>
      <c r="I25" s="46">
        <f>D25*(E25+F25+G25+H25)</f>
        <v>17220</v>
      </c>
      <c r="J25" s="157">
        <f>J4*D25</f>
        <v>17220</v>
      </c>
      <c r="K25" s="78">
        <f>(3800*4)+200</f>
        <v>15400</v>
      </c>
      <c r="L25" s="47" t="s">
        <v>99</v>
      </c>
      <c r="M25" s="79">
        <f>-I25+K25</f>
        <v>-1820</v>
      </c>
      <c r="N25" s="134">
        <f>-J25+K25-50*D25</f>
        <v>-2020</v>
      </c>
      <c r="O25" s="205">
        <f>X25+2995+2000+Z25</f>
        <v>20228</v>
      </c>
      <c r="P25" s="90" t="s">
        <v>274</v>
      </c>
      <c r="Q25" s="177">
        <f>-J25+AG25*D25</f>
        <v>-3440</v>
      </c>
      <c r="R25" s="50"/>
      <c r="S25" s="50" t="s">
        <v>24</v>
      </c>
      <c r="T25" s="51"/>
      <c r="U25" s="162" t="s">
        <v>256</v>
      </c>
      <c r="V25" s="162" t="s">
        <v>275</v>
      </c>
      <c r="W25" s="167">
        <v>4</v>
      </c>
      <c r="X25" s="206">
        <f>U25+V25+W25+9684</f>
        <v>15233</v>
      </c>
      <c r="Y25" s="207">
        <f>X25-J25</f>
        <v>-1987</v>
      </c>
      <c r="Z25" s="92"/>
      <c r="AA25" s="152">
        <f>Z25+Y25</f>
        <v>-1987</v>
      </c>
      <c r="AB25" s="209">
        <f>Z25/D25</f>
        <v>0</v>
      </c>
      <c r="AC25" s="208">
        <f>X25/D25+AB25</f>
        <v>3808.25</v>
      </c>
      <c r="AD25" s="90"/>
      <c r="AE25" s="9"/>
      <c r="AG25" s="200">
        <v>3445</v>
      </c>
    </row>
    <row r="26" spans="1:31" ht="12.75">
      <c r="A26" s="103" t="s">
        <v>64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5"/>
      <c r="P26" s="68"/>
      <c r="Q26" s="105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6"/>
      <c r="AD26" s="73"/>
      <c r="AE26" s="15"/>
    </row>
    <row r="27" spans="1:31" ht="12.75">
      <c r="A27" s="82" t="s">
        <v>66</v>
      </c>
      <c r="B27" s="60" t="s">
        <v>65</v>
      </c>
      <c r="C27" s="60" t="s">
        <v>63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99</v>
      </c>
      <c r="M27" s="134">
        <f>-I27+K27</f>
        <v>0</v>
      </c>
      <c r="N27" s="134"/>
      <c r="O27" s="47">
        <v>50</v>
      </c>
      <c r="P27" s="51"/>
      <c r="Q27" s="80">
        <f t="shared" si="1"/>
        <v>0</v>
      </c>
      <c r="R27" s="145" t="s">
        <v>31</v>
      </c>
      <c r="S27" s="50"/>
      <c r="T27" s="90" t="s">
        <v>41</v>
      </c>
      <c r="U27" s="90"/>
      <c r="V27" s="90"/>
      <c r="W27" s="167">
        <v>5</v>
      </c>
      <c r="X27" s="167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258</v>
      </c>
      <c r="B28" s="60"/>
      <c r="C28" s="60"/>
      <c r="D28" s="44"/>
      <c r="E28" s="45"/>
      <c r="F28" s="86"/>
      <c r="G28" s="87"/>
      <c r="H28" s="86"/>
      <c r="I28" s="46"/>
      <c r="J28" s="158" t="s">
        <v>247</v>
      </c>
      <c r="K28" s="78"/>
      <c r="L28" s="47"/>
      <c r="M28" s="134"/>
      <c r="N28" s="134"/>
      <c r="O28" s="47"/>
      <c r="P28" s="51"/>
      <c r="Q28" s="80"/>
      <c r="R28" s="145"/>
      <c r="S28" s="50"/>
      <c r="T28" s="90"/>
      <c r="U28" s="90"/>
      <c r="V28" s="90" t="s">
        <v>261</v>
      </c>
      <c r="W28" s="89"/>
      <c r="X28" s="89"/>
      <c r="Y28" s="81"/>
      <c r="Z28" s="81"/>
      <c r="AA28" s="81"/>
      <c r="AB28" s="81"/>
      <c r="AC28" s="52"/>
      <c r="AD28" s="90"/>
      <c r="AE28" s="176"/>
    </row>
    <row r="29" spans="1:31" ht="12.75">
      <c r="A29" s="108" t="s">
        <v>121</v>
      </c>
      <c r="B29" s="60" t="s">
        <v>67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58" t="s">
        <v>247</v>
      </c>
      <c r="K29" s="78">
        <v>500</v>
      </c>
      <c r="L29" s="47" t="s">
        <v>99</v>
      </c>
      <c r="M29" s="134">
        <f>-I29+K29</f>
        <v>0</v>
      </c>
      <c r="N29" s="134"/>
      <c r="O29" s="47">
        <f>X29+Z29</f>
        <v>342</v>
      </c>
      <c r="P29" s="51"/>
      <c r="Q29" s="80">
        <f t="shared" si="1"/>
        <v>-158</v>
      </c>
      <c r="R29" s="50"/>
      <c r="S29" s="50" t="s">
        <v>24</v>
      </c>
      <c r="T29" s="51"/>
      <c r="U29" s="162"/>
      <c r="V29" s="162" t="s">
        <v>245</v>
      </c>
      <c r="W29" s="89"/>
      <c r="X29" s="167">
        <f>U29+V29+W29+250</f>
        <v>292</v>
      </c>
      <c r="Y29" s="152"/>
      <c r="Z29" s="179">
        <v>50</v>
      </c>
      <c r="AA29" s="92"/>
      <c r="AB29" s="179">
        <v>50</v>
      </c>
      <c r="AC29" s="185">
        <f>X29/D29+AB29+5</f>
        <v>347</v>
      </c>
      <c r="AD29" s="90"/>
      <c r="AE29" s="9"/>
    </row>
    <row r="30" spans="1:31" ht="12.75">
      <c r="A30" s="103" t="s">
        <v>15</v>
      </c>
      <c r="B30" s="64"/>
      <c r="C30" s="65"/>
      <c r="D30" s="66"/>
      <c r="E30" s="66"/>
      <c r="F30" s="67"/>
      <c r="G30" s="67"/>
      <c r="H30" s="104"/>
      <c r="I30" s="68"/>
      <c r="J30" s="68"/>
      <c r="K30" s="69"/>
      <c r="L30" s="69"/>
      <c r="M30" s="68"/>
      <c r="N30" s="68"/>
      <c r="O30" s="105"/>
      <c r="P30" s="68"/>
      <c r="Q30" s="105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6"/>
      <c r="AD30" s="73"/>
      <c r="AE30" s="15"/>
    </row>
    <row r="31" spans="1:31" ht="12.75">
      <c r="A31" s="75" t="s">
        <v>48</v>
      </c>
      <c r="B31" s="43" t="s">
        <v>23</v>
      </c>
      <c r="C31" s="43" t="s">
        <v>49</v>
      </c>
      <c r="D31" s="44">
        <v>1</v>
      </c>
      <c r="E31" s="45">
        <f aca="true" t="shared" si="2" ref="E31:E36">$E$4</f>
        <v>4100</v>
      </c>
      <c r="F31" s="45">
        <f aca="true" t="shared" si="3" ref="F31:F36">$E31*5/100</f>
        <v>205</v>
      </c>
      <c r="G31" s="87">
        <f aca="true" t="shared" si="4" ref="G31:G36">$G$4</f>
        <v>350</v>
      </c>
      <c r="H31" s="89">
        <f aca="true" t="shared" si="5" ref="H31:H36">$G31*10/100</f>
        <v>35</v>
      </c>
      <c r="I31" s="46">
        <f aca="true" t="shared" si="6" ref="I31:I36">D31*(E31+F31+G31+H31)</f>
        <v>4690</v>
      </c>
      <c r="J31" s="157">
        <f>J4*D31</f>
        <v>4305</v>
      </c>
      <c r="K31" s="78">
        <v>3850</v>
      </c>
      <c r="L31" s="47" t="s">
        <v>101</v>
      </c>
      <c r="M31" s="79">
        <f aca="true" t="shared" si="7" ref="M31:M36">-I31+K31</f>
        <v>-840</v>
      </c>
      <c r="N31" s="134">
        <f>-J31+K31-50*D31</f>
        <v>-505</v>
      </c>
      <c r="O31" s="98">
        <f aca="true" t="shared" si="8" ref="O31:O36">X31</f>
        <v>3784</v>
      </c>
      <c r="P31" s="51" t="s">
        <v>184</v>
      </c>
      <c r="Q31" s="204">
        <f t="shared" si="1"/>
        <v>-906</v>
      </c>
      <c r="R31" s="145" t="s">
        <v>31</v>
      </c>
      <c r="S31" s="50" t="s">
        <v>24</v>
      </c>
      <c r="T31" s="51" t="s">
        <v>133</v>
      </c>
      <c r="U31" s="162" t="s">
        <v>253</v>
      </c>
      <c r="V31" s="162" t="s">
        <v>184</v>
      </c>
      <c r="W31" s="167">
        <v>0</v>
      </c>
      <c r="X31" s="167">
        <f aca="true" t="shared" si="9" ref="X31:X36">U31+V31+W31</f>
        <v>3784</v>
      </c>
      <c r="Y31" s="152">
        <f aca="true" t="shared" si="10" ref="Y31:Y36">X31-J31</f>
        <v>-521</v>
      </c>
      <c r="Z31" s="92"/>
      <c r="AA31" s="92"/>
      <c r="AB31" s="92"/>
      <c r="AC31" s="172">
        <f aca="true" t="shared" si="11" ref="AC31:AC36">X31/D31</f>
        <v>3784</v>
      </c>
      <c r="AD31" s="90"/>
      <c r="AE31" s="9"/>
    </row>
    <row r="32" spans="1:31" ht="12.75">
      <c r="A32" s="75" t="s">
        <v>50</v>
      </c>
      <c r="B32" s="43" t="s">
        <v>5</v>
      </c>
      <c r="C32" s="76" t="s">
        <v>33</v>
      </c>
      <c r="D32" s="77">
        <v>2</v>
      </c>
      <c r="E32" s="45">
        <f t="shared" si="2"/>
        <v>4100</v>
      </c>
      <c r="F32" s="45">
        <f t="shared" si="3"/>
        <v>205</v>
      </c>
      <c r="G32" s="87">
        <f t="shared" si="4"/>
        <v>350</v>
      </c>
      <c r="H32" s="89">
        <f t="shared" si="5"/>
        <v>35</v>
      </c>
      <c r="I32" s="46">
        <f t="shared" si="6"/>
        <v>9380</v>
      </c>
      <c r="J32" s="157">
        <f>J4*D32</f>
        <v>8610</v>
      </c>
      <c r="K32" s="46">
        <v>8220</v>
      </c>
      <c r="L32" s="47" t="s">
        <v>98</v>
      </c>
      <c r="M32" s="79">
        <f t="shared" si="7"/>
        <v>-1160</v>
      </c>
      <c r="N32" s="134">
        <f>-J32+K32-50*D32</f>
        <v>-490</v>
      </c>
      <c r="O32" s="98">
        <f>X32+Z32</f>
        <v>8368</v>
      </c>
      <c r="P32" s="90" t="s">
        <v>334</v>
      </c>
      <c r="Q32" s="204">
        <f t="shared" si="1"/>
        <v>-1012</v>
      </c>
      <c r="R32" s="50" t="s">
        <v>112</v>
      </c>
      <c r="S32" s="50" t="s">
        <v>112</v>
      </c>
      <c r="T32" s="51"/>
      <c r="U32" s="162" t="s">
        <v>260</v>
      </c>
      <c r="V32" s="162" t="s">
        <v>276</v>
      </c>
      <c r="W32" s="167">
        <v>0</v>
      </c>
      <c r="X32" s="167">
        <f t="shared" si="9"/>
        <v>4803</v>
      </c>
      <c r="Y32" s="152">
        <f t="shared" si="10"/>
        <v>-3807</v>
      </c>
      <c r="Z32" s="92">
        <v>3565</v>
      </c>
      <c r="AA32" s="152">
        <f>Z32+Y32</f>
        <v>-242</v>
      </c>
      <c r="AB32" s="152">
        <f>Z32/D32</f>
        <v>1782.5</v>
      </c>
      <c r="AC32" s="172">
        <f>X32/D32+AB32</f>
        <v>4184</v>
      </c>
      <c r="AD32" s="90"/>
      <c r="AE32" s="9"/>
    </row>
    <row r="33" spans="1:31" ht="12.75">
      <c r="A33" s="75" t="s">
        <v>51</v>
      </c>
      <c r="B33" s="43" t="s">
        <v>53</v>
      </c>
      <c r="C33" s="43" t="s">
        <v>117</v>
      </c>
      <c r="D33" s="44">
        <v>2</v>
      </c>
      <c r="E33" s="45">
        <f t="shared" si="2"/>
        <v>4100</v>
      </c>
      <c r="F33" s="45">
        <f t="shared" si="3"/>
        <v>205</v>
      </c>
      <c r="G33" s="87">
        <f t="shared" si="4"/>
        <v>350</v>
      </c>
      <c r="H33" s="89">
        <f t="shared" si="5"/>
        <v>35</v>
      </c>
      <c r="I33" s="46">
        <f t="shared" si="6"/>
        <v>9380</v>
      </c>
      <c r="J33" s="157">
        <f>J4*D33</f>
        <v>8610</v>
      </c>
      <c r="K33" s="78">
        <v>8400</v>
      </c>
      <c r="L33" s="47" t="s">
        <v>101</v>
      </c>
      <c r="M33" s="79">
        <f t="shared" si="7"/>
        <v>-980</v>
      </c>
      <c r="N33" s="134">
        <f>-J33+K33-50*D33</f>
        <v>-310</v>
      </c>
      <c r="O33" s="98">
        <f t="shared" si="8"/>
        <v>8305</v>
      </c>
      <c r="P33" s="51" t="s">
        <v>185</v>
      </c>
      <c r="Q33" s="204">
        <f t="shared" si="1"/>
        <v>-1075</v>
      </c>
      <c r="R33" s="145" t="s">
        <v>31</v>
      </c>
      <c r="S33" s="50" t="s">
        <v>24</v>
      </c>
      <c r="T33" s="51" t="s">
        <v>133</v>
      </c>
      <c r="U33" s="162" t="s">
        <v>254</v>
      </c>
      <c r="V33" s="162" t="s">
        <v>185</v>
      </c>
      <c r="W33" s="167">
        <v>0</v>
      </c>
      <c r="X33" s="167">
        <f t="shared" si="9"/>
        <v>8305</v>
      </c>
      <c r="Y33" s="152">
        <f t="shared" si="10"/>
        <v>-305</v>
      </c>
      <c r="Z33" s="152"/>
      <c r="AA33" s="152"/>
      <c r="AB33" s="152"/>
      <c r="AC33" s="172">
        <f t="shared" si="11"/>
        <v>4152.5</v>
      </c>
      <c r="AD33" s="90"/>
      <c r="AE33" s="9"/>
    </row>
    <row r="34" spans="1:31" ht="12.75">
      <c r="A34" s="109" t="s">
        <v>104</v>
      </c>
      <c r="B34" s="43" t="s">
        <v>52</v>
      </c>
      <c r="C34" s="43" t="s">
        <v>114</v>
      </c>
      <c r="D34" s="44">
        <v>4</v>
      </c>
      <c r="E34" s="45">
        <f t="shared" si="2"/>
        <v>4100</v>
      </c>
      <c r="F34" s="45">
        <f t="shared" si="3"/>
        <v>205</v>
      </c>
      <c r="G34" s="87">
        <f t="shared" si="4"/>
        <v>350</v>
      </c>
      <c r="H34" s="89">
        <f t="shared" si="5"/>
        <v>35</v>
      </c>
      <c r="I34" s="46">
        <f t="shared" si="6"/>
        <v>18760</v>
      </c>
      <c r="J34" s="157">
        <f>J4*D34</f>
        <v>17220</v>
      </c>
      <c r="K34" s="78">
        <v>16600</v>
      </c>
      <c r="L34" s="47" t="s">
        <v>101</v>
      </c>
      <c r="M34" s="79">
        <f t="shared" si="7"/>
        <v>-2160</v>
      </c>
      <c r="N34" s="134">
        <f>-J34+K34-50*D34</f>
        <v>-820</v>
      </c>
      <c r="O34" s="98">
        <f t="shared" si="8"/>
        <v>16406</v>
      </c>
      <c r="P34" s="51" t="s">
        <v>186</v>
      </c>
      <c r="Q34" s="204">
        <f t="shared" si="1"/>
        <v>-2354</v>
      </c>
      <c r="R34" s="145" t="s">
        <v>31</v>
      </c>
      <c r="S34" s="50" t="s">
        <v>24</v>
      </c>
      <c r="T34" s="51" t="s">
        <v>132</v>
      </c>
      <c r="U34" s="162" t="s">
        <v>255</v>
      </c>
      <c r="V34" s="162" t="s">
        <v>186</v>
      </c>
      <c r="W34" s="167">
        <v>0</v>
      </c>
      <c r="X34" s="167">
        <f t="shared" si="9"/>
        <v>16406</v>
      </c>
      <c r="Y34" s="152">
        <f t="shared" si="10"/>
        <v>-814</v>
      </c>
      <c r="Z34" s="152"/>
      <c r="AA34" s="152"/>
      <c r="AB34" s="152"/>
      <c r="AC34" s="172">
        <f t="shared" si="11"/>
        <v>4101.5</v>
      </c>
      <c r="AD34" s="90"/>
      <c r="AE34" s="9"/>
    </row>
    <row r="35" spans="1:31" ht="12.75">
      <c r="A35" s="75" t="s">
        <v>55</v>
      </c>
      <c r="B35" s="43" t="s">
        <v>54</v>
      </c>
      <c r="C35" s="43" t="s">
        <v>118</v>
      </c>
      <c r="D35" s="44">
        <v>18</v>
      </c>
      <c r="E35" s="45">
        <f t="shared" si="2"/>
        <v>4100</v>
      </c>
      <c r="F35" s="45">
        <f t="shared" si="3"/>
        <v>205</v>
      </c>
      <c r="G35" s="87">
        <f t="shared" si="4"/>
        <v>350</v>
      </c>
      <c r="H35" s="89">
        <f t="shared" si="5"/>
        <v>35</v>
      </c>
      <c r="I35" s="46">
        <f t="shared" si="6"/>
        <v>84420</v>
      </c>
      <c r="J35" s="157">
        <f>J4*D35</f>
        <v>77490</v>
      </c>
      <c r="K35" s="78">
        <v>75000</v>
      </c>
      <c r="L35" s="47" t="s">
        <v>101</v>
      </c>
      <c r="M35" s="79">
        <f t="shared" si="7"/>
        <v>-9420</v>
      </c>
      <c r="N35" s="134">
        <f>-J35+K35-50*D35</f>
        <v>-3390</v>
      </c>
      <c r="O35" s="98">
        <f t="shared" si="8"/>
        <v>73140</v>
      </c>
      <c r="P35" s="51" t="s">
        <v>337</v>
      </c>
      <c r="Q35" s="204">
        <f t="shared" si="1"/>
        <v>-11280</v>
      </c>
      <c r="R35" s="50"/>
      <c r="S35" s="50"/>
      <c r="T35" s="51" t="s">
        <v>133</v>
      </c>
      <c r="U35" s="162" t="s">
        <v>252</v>
      </c>
      <c r="V35" s="162" t="s">
        <v>187</v>
      </c>
      <c r="W35" s="167">
        <v>0</v>
      </c>
      <c r="X35" s="167">
        <f t="shared" si="9"/>
        <v>73140</v>
      </c>
      <c r="Y35" s="152">
        <f t="shared" si="10"/>
        <v>-4350</v>
      </c>
      <c r="Z35" s="152"/>
      <c r="AA35" s="152"/>
      <c r="AB35" s="152"/>
      <c r="AC35" s="172">
        <f t="shared" si="11"/>
        <v>4063.3333333333335</v>
      </c>
      <c r="AD35" s="90"/>
      <c r="AE35" s="9"/>
    </row>
    <row r="36" spans="1:91" s="147" customFormat="1" ht="12.75">
      <c r="A36" s="109" t="s">
        <v>168</v>
      </c>
      <c r="B36" s="43"/>
      <c r="C36" s="43" t="s">
        <v>41</v>
      </c>
      <c r="D36" s="44">
        <v>12</v>
      </c>
      <c r="E36" s="45">
        <f t="shared" si="2"/>
        <v>4100</v>
      </c>
      <c r="F36" s="45">
        <f t="shared" si="3"/>
        <v>205</v>
      </c>
      <c r="G36" s="87">
        <f t="shared" si="4"/>
        <v>350</v>
      </c>
      <c r="H36" s="89">
        <f t="shared" si="5"/>
        <v>35</v>
      </c>
      <c r="I36" s="46">
        <f t="shared" si="6"/>
        <v>56280</v>
      </c>
      <c r="J36" s="157">
        <f>J4*D36</f>
        <v>51660</v>
      </c>
      <c r="K36" s="202" t="s">
        <v>246</v>
      </c>
      <c r="L36" s="47" t="s">
        <v>101</v>
      </c>
      <c r="M36" s="79">
        <f t="shared" si="7"/>
        <v>-10680</v>
      </c>
      <c r="N36" s="134"/>
      <c r="O36" s="98">
        <f t="shared" si="8"/>
        <v>45640</v>
      </c>
      <c r="P36" s="90" t="s">
        <v>246</v>
      </c>
      <c r="Q36" s="204">
        <f t="shared" si="1"/>
        <v>-10640</v>
      </c>
      <c r="R36" s="146"/>
      <c r="S36" s="146" t="s">
        <v>24</v>
      </c>
      <c r="T36" s="49" t="s">
        <v>134</v>
      </c>
      <c r="U36" s="162" t="s">
        <v>252</v>
      </c>
      <c r="V36" s="162" t="s">
        <v>246</v>
      </c>
      <c r="W36" s="167">
        <v>0</v>
      </c>
      <c r="X36" s="167">
        <f t="shared" si="9"/>
        <v>45640</v>
      </c>
      <c r="Y36" s="152">
        <f t="shared" si="10"/>
        <v>-6020</v>
      </c>
      <c r="Z36" s="152"/>
      <c r="AA36" s="152"/>
      <c r="AB36" s="152"/>
      <c r="AC36" s="187">
        <f t="shared" si="11"/>
        <v>3803.3333333333335</v>
      </c>
      <c r="AD36" s="90"/>
      <c r="AE36" s="9"/>
      <c r="AF36" s="15"/>
      <c r="AG36" s="15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</row>
    <row r="37" spans="1:31" ht="12.75">
      <c r="A37" s="103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5"/>
      <c r="P37" s="68"/>
      <c r="Q37" s="105"/>
      <c r="R37" s="72"/>
      <c r="S37" s="72"/>
      <c r="T37" s="73"/>
      <c r="U37" s="73"/>
      <c r="V37" s="73"/>
      <c r="W37" s="71"/>
      <c r="X37" s="71"/>
      <c r="Y37" s="68"/>
      <c r="Z37" s="68"/>
      <c r="AA37" s="68" t="s">
        <v>41</v>
      </c>
      <c r="AB37" s="68"/>
      <c r="AC37" s="106" t="s">
        <v>353</v>
      </c>
      <c r="AD37" s="73"/>
      <c r="AE37" s="15"/>
    </row>
    <row r="38" spans="1:32" ht="12.75">
      <c r="A38" s="75" t="s">
        <v>89</v>
      </c>
      <c r="B38" s="43" t="s">
        <v>72</v>
      </c>
      <c r="C38" s="60" t="s">
        <v>90</v>
      </c>
      <c r="D38" s="44">
        <v>1</v>
      </c>
      <c r="E38" s="213">
        <f>$E$4-550</f>
        <v>3550</v>
      </c>
      <c r="F38" s="213">
        <f>$E38*5/100</f>
        <v>177.5</v>
      </c>
      <c r="G38" s="87">
        <f>$G$4</f>
        <v>350</v>
      </c>
      <c r="H38" s="89">
        <f>$G38*10/100</f>
        <v>35</v>
      </c>
      <c r="I38" s="46">
        <f aca="true" t="shared" si="12" ref="I38:I44">D38*(E38+F38+G38+H38)</f>
        <v>4112.5</v>
      </c>
      <c r="J38" s="157">
        <f>J6*D38</f>
        <v>4305</v>
      </c>
      <c r="K38" s="46">
        <f>3560+50</f>
        <v>3610</v>
      </c>
      <c r="L38" s="47" t="s">
        <v>102</v>
      </c>
      <c r="M38" s="79">
        <f aca="true" t="shared" si="13" ref="M38:M44">-I38+K38</f>
        <v>-502.5</v>
      </c>
      <c r="N38" s="134">
        <f>-J38+K38-50*D38</f>
        <v>-745</v>
      </c>
      <c r="O38" s="134">
        <f>8+435+532+Z38</f>
        <v>1904</v>
      </c>
      <c r="P38" s="90" t="s">
        <v>268</v>
      </c>
      <c r="Q38" s="204">
        <f t="shared" si="1"/>
        <v>-2208.5</v>
      </c>
      <c r="R38" s="50"/>
      <c r="S38" s="50" t="s">
        <v>98</v>
      </c>
      <c r="T38" s="90" t="s">
        <v>41</v>
      </c>
      <c r="U38" s="162" t="s">
        <v>243</v>
      </c>
      <c r="V38" s="162" t="s">
        <v>349</v>
      </c>
      <c r="W38" s="167">
        <v>2</v>
      </c>
      <c r="X38" s="167">
        <f>U38+V38+W38</f>
        <v>2004</v>
      </c>
      <c r="Y38" s="92"/>
      <c r="Z38" s="92">
        <f>1344+560+225-1200</f>
        <v>929</v>
      </c>
      <c r="AA38" s="179">
        <f>AB38-AC38+500</f>
        <v>-575</v>
      </c>
      <c r="AB38" s="179">
        <f>Z38/D38</f>
        <v>929</v>
      </c>
      <c r="AC38" s="98">
        <f>X38/D38</f>
        <v>2004</v>
      </c>
      <c r="AD38" s="183" t="s">
        <v>284</v>
      </c>
      <c r="AE38" s="215">
        <f>AC38+AD38+550</f>
        <v>3069</v>
      </c>
      <c r="AF38" s="179">
        <f>AE38-4305</f>
        <v>-1236</v>
      </c>
    </row>
    <row r="39" spans="1:32" ht="12.75">
      <c r="A39" s="75" t="s">
        <v>3</v>
      </c>
      <c r="B39" s="43" t="s">
        <v>56</v>
      </c>
      <c r="C39" s="60" t="s">
        <v>7</v>
      </c>
      <c r="D39" s="61">
        <v>2</v>
      </c>
      <c r="E39" s="45">
        <f>$E$4</f>
        <v>4100</v>
      </c>
      <c r="F39" s="45">
        <f aca="true" t="shared" si="14" ref="F39:F44">$E39*5/100</f>
        <v>205</v>
      </c>
      <c r="G39" s="87">
        <f>$G$4</f>
        <v>350</v>
      </c>
      <c r="H39" s="89">
        <f>$G39*10/100</f>
        <v>35</v>
      </c>
      <c r="I39" s="46">
        <f t="shared" si="12"/>
        <v>9380</v>
      </c>
      <c r="J39" s="157">
        <f>4020*D39</f>
        <v>8040</v>
      </c>
      <c r="K39" s="78">
        <v>7420</v>
      </c>
      <c r="L39" s="47" t="s">
        <v>98</v>
      </c>
      <c r="M39" s="79">
        <f t="shared" si="13"/>
        <v>-1960</v>
      </c>
      <c r="N39" s="134">
        <f>-J39+K39-50*D39-500*D39</f>
        <v>-1720</v>
      </c>
      <c r="O39" s="89">
        <f>7406+Z39</f>
        <v>8482</v>
      </c>
      <c r="P39" s="90" t="s">
        <v>269</v>
      </c>
      <c r="Q39" s="204">
        <f t="shared" si="1"/>
        <v>-898</v>
      </c>
      <c r="R39" s="145" t="s">
        <v>31</v>
      </c>
      <c r="S39" s="50" t="s">
        <v>113</v>
      </c>
      <c r="T39" s="51"/>
      <c r="U39" s="162"/>
      <c r="V39" s="162" t="s">
        <v>350</v>
      </c>
      <c r="W39" s="167">
        <v>4</v>
      </c>
      <c r="X39" s="167">
        <f>U39+V39+W39</f>
        <v>4004</v>
      </c>
      <c r="Y39" s="92"/>
      <c r="Z39" s="92">
        <f>3476-2400</f>
        <v>1076</v>
      </c>
      <c r="AA39" s="179">
        <f>AB39-AC39+500</f>
        <v>-964</v>
      </c>
      <c r="AB39" s="179">
        <f>Z39/D39</f>
        <v>538</v>
      </c>
      <c r="AC39" s="98">
        <f>X39/D39</f>
        <v>2002</v>
      </c>
      <c r="AD39" s="183" t="s">
        <v>294</v>
      </c>
      <c r="AE39" s="215">
        <f>AC39+AD39+550</f>
        <v>3202</v>
      </c>
      <c r="AF39" s="179">
        <f>AE39-4305</f>
        <v>-1103</v>
      </c>
    </row>
    <row r="40" spans="1:32" ht="12.75">
      <c r="A40" s="75" t="s">
        <v>97</v>
      </c>
      <c r="B40" s="43" t="s">
        <v>96</v>
      </c>
      <c r="C40" s="43" t="s">
        <v>19</v>
      </c>
      <c r="D40" s="44">
        <v>1</v>
      </c>
      <c r="E40" s="45">
        <f>$E$4</f>
        <v>4100</v>
      </c>
      <c r="F40" s="45">
        <f t="shared" si="14"/>
        <v>205</v>
      </c>
      <c r="G40" s="87">
        <f>$G$4</f>
        <v>350</v>
      </c>
      <c r="H40" s="89">
        <f>$G40*10/100</f>
        <v>35</v>
      </c>
      <c r="I40" s="46">
        <f t="shared" si="12"/>
        <v>4690</v>
      </c>
      <c r="J40" s="157">
        <f>J8*D40</f>
        <v>4305</v>
      </c>
      <c r="K40" s="46">
        <v>4110</v>
      </c>
      <c r="L40" s="47" t="s">
        <v>101</v>
      </c>
      <c r="M40" s="79">
        <f t="shared" si="13"/>
        <v>-580</v>
      </c>
      <c r="N40" s="134">
        <f>-J40+K40-50*D40-500*D40</f>
        <v>-745</v>
      </c>
      <c r="O40" s="89">
        <f>Z40+4110</f>
        <v>5375</v>
      </c>
      <c r="P40" s="90" t="s">
        <v>270</v>
      </c>
      <c r="Q40" s="204">
        <f t="shared" si="1"/>
        <v>685</v>
      </c>
      <c r="R40" s="146"/>
      <c r="S40" s="146" t="s">
        <v>101</v>
      </c>
      <c r="T40" s="49"/>
      <c r="U40" s="162"/>
      <c r="V40" s="162" t="s">
        <v>351</v>
      </c>
      <c r="W40" s="167">
        <v>2</v>
      </c>
      <c r="X40" s="167">
        <f>U40+V40+W40</f>
        <v>2012</v>
      </c>
      <c r="Y40" s="92"/>
      <c r="Z40" s="92">
        <f>1800+675-10-1200</f>
        <v>1265</v>
      </c>
      <c r="AA40" s="179">
        <f>AB40-AC40+500</f>
        <v>-247</v>
      </c>
      <c r="AB40" s="179">
        <f>Z40/D40</f>
        <v>1265</v>
      </c>
      <c r="AC40" s="98">
        <f>X40/D40</f>
        <v>2012</v>
      </c>
      <c r="AD40" s="183" t="s">
        <v>284</v>
      </c>
      <c r="AE40" s="215">
        <f>AC40+AD40+550</f>
        <v>3077</v>
      </c>
      <c r="AF40" s="179">
        <f>AE40-4305</f>
        <v>-1228</v>
      </c>
    </row>
    <row r="41" spans="1:32" ht="12.75">
      <c r="A41" s="75" t="s">
        <v>167</v>
      </c>
      <c r="B41" s="112" t="s">
        <v>86</v>
      </c>
      <c r="C41" s="60" t="s">
        <v>85</v>
      </c>
      <c r="D41" s="44">
        <v>2</v>
      </c>
      <c r="E41" s="45">
        <f>$E$4</f>
        <v>4100</v>
      </c>
      <c r="F41" s="45">
        <f t="shared" si="14"/>
        <v>205</v>
      </c>
      <c r="G41" s="87"/>
      <c r="H41" s="86"/>
      <c r="I41" s="46">
        <f t="shared" si="12"/>
        <v>8610</v>
      </c>
      <c r="J41" s="157">
        <f>4020*D41</f>
        <v>8040</v>
      </c>
      <c r="K41" s="78">
        <f>3250*2</f>
        <v>6500</v>
      </c>
      <c r="L41" s="47" t="s">
        <v>102</v>
      </c>
      <c r="M41" s="79">
        <f t="shared" si="13"/>
        <v>-2110</v>
      </c>
      <c r="N41" s="134">
        <f>-J41+K41-50*D41-500*D41</f>
        <v>-2640</v>
      </c>
      <c r="O41" s="89">
        <f>Z41+6460</f>
        <v>7395</v>
      </c>
      <c r="P41" s="51" t="s">
        <v>269</v>
      </c>
      <c r="Q41" s="177">
        <f t="shared" si="1"/>
        <v>-1215</v>
      </c>
      <c r="R41" s="145" t="s">
        <v>31</v>
      </c>
      <c r="S41" s="50" t="s">
        <v>169</v>
      </c>
      <c r="T41" s="51"/>
      <c r="U41" s="162"/>
      <c r="V41" s="162" t="s">
        <v>350</v>
      </c>
      <c r="W41" s="167">
        <v>4</v>
      </c>
      <c r="X41" s="167">
        <f>U41+V41+W41</f>
        <v>4004</v>
      </c>
      <c r="Y41" s="92"/>
      <c r="Z41" s="92">
        <f>3335-2400</f>
        <v>935</v>
      </c>
      <c r="AA41" s="179">
        <f>AB41-AC41+500</f>
        <v>-1034.5</v>
      </c>
      <c r="AB41" s="179">
        <f>Z41/D41</f>
        <v>467.5</v>
      </c>
      <c r="AC41" s="98">
        <f>X41/D41</f>
        <v>2002</v>
      </c>
      <c r="AD41" s="183" t="s">
        <v>294</v>
      </c>
      <c r="AE41" s="215">
        <f>AC41+AD41+550</f>
        <v>3202</v>
      </c>
      <c r="AF41" s="179">
        <f>AE41-4305</f>
        <v>-1103</v>
      </c>
    </row>
    <row r="42" spans="1:30" s="15" customFormat="1" ht="12.75">
      <c r="A42" s="101" t="s">
        <v>166</v>
      </c>
      <c r="B42" s="131" t="s">
        <v>86</v>
      </c>
      <c r="C42" s="99" t="s">
        <v>85</v>
      </c>
      <c r="D42" s="85">
        <v>2</v>
      </c>
      <c r="E42" s="86"/>
      <c r="F42" s="45">
        <f t="shared" si="14"/>
        <v>0</v>
      </c>
      <c r="G42" s="87">
        <f>$G$4</f>
        <v>350</v>
      </c>
      <c r="H42" s="89">
        <f>$G42*10/100</f>
        <v>35</v>
      </c>
      <c r="I42" s="88">
        <f t="shared" si="12"/>
        <v>770</v>
      </c>
      <c r="J42" s="88"/>
      <c r="K42" s="88">
        <f>310*2</f>
        <v>620</v>
      </c>
      <c r="L42" s="89" t="s">
        <v>102</v>
      </c>
      <c r="M42" s="79">
        <f t="shared" si="13"/>
        <v>-150</v>
      </c>
      <c r="N42" s="134"/>
      <c r="O42" s="89">
        <v>605</v>
      </c>
      <c r="P42" s="90"/>
      <c r="Q42" s="134">
        <f t="shared" si="1"/>
        <v>-165</v>
      </c>
      <c r="R42" s="91" t="s">
        <v>31</v>
      </c>
      <c r="S42" s="91" t="s">
        <v>169</v>
      </c>
      <c r="T42" s="90"/>
      <c r="U42" s="90"/>
      <c r="V42" s="90"/>
      <c r="W42" s="89"/>
      <c r="X42" s="89"/>
      <c r="Y42" s="92"/>
      <c r="Z42" s="92"/>
      <c r="AA42" s="92"/>
      <c r="AB42" s="92"/>
      <c r="AC42" s="89"/>
      <c r="AD42" s="90"/>
    </row>
    <row r="43" spans="1:32" ht="12.75">
      <c r="A43" s="75" t="s">
        <v>88</v>
      </c>
      <c r="B43" s="112" t="s">
        <v>86</v>
      </c>
      <c r="C43" s="60" t="s">
        <v>85</v>
      </c>
      <c r="D43" s="44">
        <v>2</v>
      </c>
      <c r="E43" s="45">
        <f>$E$4</f>
        <v>4100</v>
      </c>
      <c r="F43" s="45">
        <f t="shared" si="14"/>
        <v>205</v>
      </c>
      <c r="G43" s="87">
        <f>$G$4</f>
        <v>350</v>
      </c>
      <c r="H43" s="89">
        <f>$G43*10/100</f>
        <v>35</v>
      </c>
      <c r="I43" s="46">
        <f t="shared" si="12"/>
        <v>9380</v>
      </c>
      <c r="J43" s="157">
        <f>4020*D43</f>
        <v>8040</v>
      </c>
      <c r="K43" s="78">
        <f>3560*2</f>
        <v>7120</v>
      </c>
      <c r="L43" s="47" t="s">
        <v>102</v>
      </c>
      <c r="M43" s="79">
        <f t="shared" si="13"/>
        <v>-2260</v>
      </c>
      <c r="N43" s="134">
        <f>-J43+K43-50*D43-500*D43</f>
        <v>-2020</v>
      </c>
      <c r="O43" s="89">
        <f>Z43+13164</f>
        <v>13759</v>
      </c>
      <c r="P43" s="51" t="s">
        <v>342</v>
      </c>
      <c r="Q43" s="204">
        <f t="shared" si="1"/>
        <v>4379</v>
      </c>
      <c r="R43" s="145" t="s">
        <v>31</v>
      </c>
      <c r="S43" s="50" t="s">
        <v>169</v>
      </c>
      <c r="T43" s="51"/>
      <c r="U43" s="162"/>
      <c r="V43" s="162" t="s">
        <v>350</v>
      </c>
      <c r="W43" s="167">
        <v>4</v>
      </c>
      <c r="X43" s="167">
        <f>U43+V43+W43</f>
        <v>4004</v>
      </c>
      <c r="Y43" s="92"/>
      <c r="Z43" s="92">
        <f>1700+1375-80-2400</f>
        <v>595</v>
      </c>
      <c r="AA43" s="179">
        <f>AB43-AC43+500</f>
        <v>-1204.5</v>
      </c>
      <c r="AB43" s="179">
        <f>Z43/D43</f>
        <v>297.5</v>
      </c>
      <c r="AC43" s="98">
        <f>X43/D43</f>
        <v>2002</v>
      </c>
      <c r="AD43" s="183" t="s">
        <v>294</v>
      </c>
      <c r="AE43" s="215">
        <f>AC43+AD43+550</f>
        <v>3202</v>
      </c>
      <c r="AF43" s="179">
        <f>AE43-4305</f>
        <v>-1103</v>
      </c>
    </row>
    <row r="44" spans="1:33" ht="12.75">
      <c r="A44" s="113" t="s">
        <v>87</v>
      </c>
      <c r="B44" s="112" t="s">
        <v>86</v>
      </c>
      <c r="C44" s="60" t="s">
        <v>85</v>
      </c>
      <c r="D44" s="114">
        <v>3</v>
      </c>
      <c r="E44" s="45">
        <f>$E$4</f>
        <v>4100</v>
      </c>
      <c r="F44" s="45">
        <f t="shared" si="14"/>
        <v>205</v>
      </c>
      <c r="G44" s="87">
        <f>$G$4</f>
        <v>350</v>
      </c>
      <c r="H44" s="89">
        <f>$G44*10/100</f>
        <v>35</v>
      </c>
      <c r="I44" s="46">
        <f t="shared" si="12"/>
        <v>14070</v>
      </c>
      <c r="J44" s="157">
        <f>4020*D44</f>
        <v>12060</v>
      </c>
      <c r="K44" s="115">
        <f>3560*3</f>
        <v>10680</v>
      </c>
      <c r="L44" s="47" t="s">
        <v>102</v>
      </c>
      <c r="M44" s="79">
        <f t="shared" si="13"/>
        <v>-3390</v>
      </c>
      <c r="N44" s="134">
        <f>-J44+K44-50*D44-500*D44</f>
        <v>-3030</v>
      </c>
      <c r="O44" s="89">
        <f>Z44+10658</f>
        <v>10658</v>
      </c>
      <c r="P44" s="51" t="s">
        <v>271</v>
      </c>
      <c r="Q44" s="204">
        <f t="shared" si="1"/>
        <v>-3412</v>
      </c>
      <c r="R44" s="145" t="s">
        <v>31</v>
      </c>
      <c r="S44" s="117" t="s">
        <v>169</v>
      </c>
      <c r="T44" s="116"/>
      <c r="U44" s="163" t="s">
        <v>261</v>
      </c>
      <c r="V44" s="163" t="s">
        <v>352</v>
      </c>
      <c r="W44" s="169">
        <v>6</v>
      </c>
      <c r="X44" s="167">
        <f>U44+V44+W44</f>
        <v>5706</v>
      </c>
      <c r="Y44" s="118"/>
      <c r="Z44" s="216">
        <f>3300-3300</f>
        <v>0</v>
      </c>
      <c r="AA44" s="179">
        <f>AB44-AC44+500</f>
        <v>-1402</v>
      </c>
      <c r="AB44" s="179">
        <f>Z44/D44</f>
        <v>0</v>
      </c>
      <c r="AC44" s="98">
        <f>X44/D44</f>
        <v>1902</v>
      </c>
      <c r="AD44" s="184" t="s">
        <v>284</v>
      </c>
      <c r="AE44" s="215">
        <f>AC44+AD44+550</f>
        <v>2967</v>
      </c>
      <c r="AF44" s="179">
        <f>AE44-4305</f>
        <v>-1338</v>
      </c>
      <c r="AG44" s="15">
        <v>2714</v>
      </c>
    </row>
    <row r="45" spans="1:31" ht="12.75">
      <c r="A45" s="103" t="s">
        <v>122</v>
      </c>
      <c r="B45" s="64"/>
      <c r="C45" s="65"/>
      <c r="D45" s="66"/>
      <c r="E45" s="66"/>
      <c r="F45" s="104"/>
      <c r="G45" s="66"/>
      <c r="H45" s="104"/>
      <c r="I45" s="68"/>
      <c r="J45" s="68"/>
      <c r="K45" s="68"/>
      <c r="L45" s="69"/>
      <c r="M45" s="68"/>
      <c r="N45" s="68"/>
      <c r="O45" s="105"/>
      <c r="P45" s="68"/>
      <c r="Q45" s="105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6"/>
      <c r="AD45" s="73"/>
      <c r="AE45" s="15"/>
    </row>
    <row r="46" spans="1:31" ht="12.75">
      <c r="A46" s="101" t="s">
        <v>123</v>
      </c>
      <c r="B46" s="84"/>
      <c r="C46" s="84"/>
      <c r="D46" s="44">
        <v>1</v>
      </c>
      <c r="E46" s="45">
        <f>$E$4-550</f>
        <v>3550</v>
      </c>
      <c r="F46" s="45">
        <f>$E46*0.5/100</f>
        <v>17.75</v>
      </c>
      <c r="G46" s="87">
        <f>$G$4</f>
        <v>350</v>
      </c>
      <c r="H46" s="89">
        <f>$G46*10/100</f>
        <v>35</v>
      </c>
      <c r="I46" s="46">
        <f>D46*(E46+F46+G46+H46)</f>
        <v>3952.75</v>
      </c>
      <c r="J46" s="88"/>
      <c r="K46" s="78">
        <v>0</v>
      </c>
      <c r="L46" s="47" t="s">
        <v>99</v>
      </c>
      <c r="M46" s="79">
        <f>-I46+K46</f>
        <v>-3952.75</v>
      </c>
      <c r="N46" s="79"/>
      <c r="O46" s="89"/>
      <c r="P46" s="90"/>
      <c r="Q46" s="80">
        <f t="shared" si="1"/>
        <v>-3952.75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1" ht="12.75">
      <c r="A47" s="103" t="s">
        <v>25</v>
      </c>
      <c r="B47" s="119"/>
      <c r="C47" s="119"/>
      <c r="D47" s="120"/>
      <c r="E47" s="120"/>
      <c r="F47" s="121"/>
      <c r="G47" s="122"/>
      <c r="H47" s="120"/>
      <c r="I47" s="123"/>
      <c r="J47" s="123"/>
      <c r="K47" s="124"/>
      <c r="L47" s="124"/>
      <c r="M47" s="125"/>
      <c r="N47" s="125"/>
      <c r="O47" s="105"/>
      <c r="P47" s="125"/>
      <c r="Q47" s="105"/>
      <c r="R47" s="72"/>
      <c r="S47" s="127"/>
      <c r="T47" s="128"/>
      <c r="U47" s="128"/>
      <c r="V47" s="128"/>
      <c r="W47" s="126"/>
      <c r="X47" s="126"/>
      <c r="Y47" s="125"/>
      <c r="Z47" s="125"/>
      <c r="AA47" s="125"/>
      <c r="AB47" s="125"/>
      <c r="AC47" s="129"/>
      <c r="AD47" s="128"/>
      <c r="AE47" s="12"/>
    </row>
    <row r="48" spans="1:31" ht="12.75">
      <c r="A48" s="113" t="s">
        <v>92</v>
      </c>
      <c r="B48" s="112" t="s">
        <v>86</v>
      </c>
      <c r="C48" s="112" t="s">
        <v>91</v>
      </c>
      <c r="D48" s="114">
        <v>1</v>
      </c>
      <c r="E48" s="45">
        <f>$E$4</f>
        <v>4100</v>
      </c>
      <c r="F48" s="45">
        <f aca="true" t="shared" si="15" ref="F48:F62">$E48*5/100</f>
        <v>205</v>
      </c>
      <c r="G48" s="87">
        <f>$G$4</f>
        <v>350</v>
      </c>
      <c r="H48" s="89">
        <f aca="true" t="shared" si="16" ref="H48:H62">$G48*10/100</f>
        <v>35</v>
      </c>
      <c r="I48" s="46">
        <f>D48*(E48+F48+G48+H48)</f>
        <v>4690</v>
      </c>
      <c r="J48" s="157">
        <f>J4*D48</f>
        <v>4305</v>
      </c>
      <c r="K48" s="130">
        <v>4110</v>
      </c>
      <c r="L48" s="47" t="s">
        <v>102</v>
      </c>
      <c r="M48" s="79">
        <f>-I48+K48</f>
        <v>-580</v>
      </c>
      <c r="N48" s="134">
        <f aca="true" t="shared" si="17" ref="N48:N62">-J48+K48-50*D48</f>
        <v>-245</v>
      </c>
      <c r="O48" s="98">
        <f>X48</f>
        <v>4090</v>
      </c>
      <c r="P48" s="116" t="s">
        <v>339</v>
      </c>
      <c r="Q48" s="134">
        <f t="shared" si="1"/>
        <v>-600</v>
      </c>
      <c r="R48" s="117"/>
      <c r="S48" s="117" t="s">
        <v>24</v>
      </c>
      <c r="T48" s="90" t="s">
        <v>41</v>
      </c>
      <c r="U48" s="162"/>
      <c r="V48" s="162" t="s">
        <v>188</v>
      </c>
      <c r="W48" s="169">
        <v>10</v>
      </c>
      <c r="X48" s="167">
        <f>U48+V48+W48</f>
        <v>4090</v>
      </c>
      <c r="Y48" s="152">
        <f>X48-J48</f>
        <v>-215</v>
      </c>
      <c r="Z48" s="152"/>
      <c r="AA48" s="152"/>
      <c r="AB48" s="152"/>
      <c r="AC48" s="172">
        <f>X48/D48</f>
        <v>4090</v>
      </c>
      <c r="AD48" s="90"/>
      <c r="AE48" s="12"/>
    </row>
    <row r="49" spans="1:31" ht="12.75">
      <c r="A49" s="113" t="s">
        <v>93</v>
      </c>
      <c r="B49" s="112" t="s">
        <v>94</v>
      </c>
      <c r="C49" s="112" t="s">
        <v>95</v>
      </c>
      <c r="D49" s="114">
        <v>1</v>
      </c>
      <c r="E49" s="45">
        <f aca="true" t="shared" si="18" ref="E49:E62">$E$4</f>
        <v>4100</v>
      </c>
      <c r="F49" s="45">
        <f t="shared" si="15"/>
        <v>205</v>
      </c>
      <c r="G49" s="87">
        <f aca="true" t="shared" si="19" ref="G49:G62">$G$4</f>
        <v>350</v>
      </c>
      <c r="H49" s="89">
        <f t="shared" si="16"/>
        <v>35</v>
      </c>
      <c r="I49" s="46">
        <f aca="true" t="shared" si="20" ref="I49:I62">D49*(E49+F49+G49+H49)</f>
        <v>4690</v>
      </c>
      <c r="J49" s="157">
        <f>J4*D49</f>
        <v>4305</v>
      </c>
      <c r="K49" s="130">
        <f>4110+50</f>
        <v>4160</v>
      </c>
      <c r="L49" s="47" t="s">
        <v>102</v>
      </c>
      <c r="M49" s="79">
        <f>-I49+K49</f>
        <v>-530</v>
      </c>
      <c r="N49" s="134">
        <f t="shared" si="17"/>
        <v>-195</v>
      </c>
      <c r="O49" s="98">
        <f aca="true" t="shared" si="21" ref="O49:O62">X49</f>
        <v>4092</v>
      </c>
      <c r="P49" s="116" t="s">
        <v>188</v>
      </c>
      <c r="Q49" s="134">
        <f t="shared" si="1"/>
        <v>-598</v>
      </c>
      <c r="R49" s="117"/>
      <c r="S49" s="117" t="s">
        <v>24</v>
      </c>
      <c r="T49" s="90" t="s">
        <v>41</v>
      </c>
      <c r="U49" s="162" t="s">
        <v>243</v>
      </c>
      <c r="V49" s="162" t="s">
        <v>188</v>
      </c>
      <c r="W49" s="169">
        <v>10</v>
      </c>
      <c r="X49" s="167">
        <f aca="true" t="shared" si="22" ref="X49:X62">U49+V49+W49</f>
        <v>4092</v>
      </c>
      <c r="Y49" s="152">
        <f aca="true" t="shared" si="23" ref="Y49:Y62">X49-J49</f>
        <v>-213</v>
      </c>
      <c r="Z49" s="152"/>
      <c r="AA49" s="152"/>
      <c r="AB49" s="152"/>
      <c r="AC49" s="172">
        <f aca="true" t="shared" si="24" ref="AC49:AC62">X49/D49</f>
        <v>4092</v>
      </c>
      <c r="AD49" s="90"/>
      <c r="AE49" s="12"/>
    </row>
    <row r="50" spans="1:31" ht="12.75">
      <c r="A50" s="113" t="s">
        <v>34</v>
      </c>
      <c r="B50" s="112"/>
      <c r="C50" s="112" t="s">
        <v>35</v>
      </c>
      <c r="D50" s="114">
        <v>3</v>
      </c>
      <c r="E50" s="45">
        <f t="shared" si="18"/>
        <v>4100</v>
      </c>
      <c r="F50" s="45">
        <f t="shared" si="15"/>
        <v>205</v>
      </c>
      <c r="G50" s="87">
        <f t="shared" si="19"/>
        <v>350</v>
      </c>
      <c r="H50" s="89">
        <f t="shared" si="16"/>
        <v>35</v>
      </c>
      <c r="I50" s="46">
        <f t="shared" si="20"/>
        <v>14070</v>
      </c>
      <c r="J50" s="157">
        <f>J4*D50</f>
        <v>12915</v>
      </c>
      <c r="K50" s="115" t="s">
        <v>115</v>
      </c>
      <c r="L50" s="132" t="s">
        <v>101</v>
      </c>
      <c r="M50" s="79"/>
      <c r="N50" s="134" t="e">
        <f t="shared" si="17"/>
        <v>#VALUE!</v>
      </c>
      <c r="O50" s="98">
        <f>X50+982+Z50</f>
        <v>12570</v>
      </c>
      <c r="P50" s="116" t="s">
        <v>345</v>
      </c>
      <c r="Q50" s="134">
        <f t="shared" si="1"/>
        <v>-1500</v>
      </c>
      <c r="R50" s="117"/>
      <c r="S50" s="117" t="s">
        <v>24</v>
      </c>
      <c r="T50" s="116" t="s">
        <v>116</v>
      </c>
      <c r="U50" s="163" t="s">
        <v>259</v>
      </c>
      <c r="V50" s="163" t="s">
        <v>277</v>
      </c>
      <c r="W50" s="169">
        <v>0</v>
      </c>
      <c r="X50" s="167">
        <f t="shared" si="22"/>
        <v>10606</v>
      </c>
      <c r="Y50" s="92">
        <f t="shared" si="23"/>
        <v>-2309</v>
      </c>
      <c r="Z50" s="92">
        <v>982</v>
      </c>
      <c r="AA50" s="152">
        <f>Z50+Y50</f>
        <v>-1327</v>
      </c>
      <c r="AB50" s="152">
        <f>Z50/D50</f>
        <v>327.3333333333333</v>
      </c>
      <c r="AC50" s="203">
        <f>X50/D50+AB25</f>
        <v>3535.3333333333335</v>
      </c>
      <c r="AD50" s="116"/>
      <c r="AE50" s="12"/>
    </row>
    <row r="51" spans="1:33" ht="12.75">
      <c r="A51" s="113" t="s">
        <v>36</v>
      </c>
      <c r="B51" s="112"/>
      <c r="C51" s="112" t="s">
        <v>26</v>
      </c>
      <c r="D51" s="114">
        <v>3</v>
      </c>
      <c r="E51" s="45">
        <f t="shared" si="18"/>
        <v>4100</v>
      </c>
      <c r="F51" s="45">
        <f t="shared" si="15"/>
        <v>205</v>
      </c>
      <c r="G51" s="87">
        <f t="shared" si="19"/>
        <v>350</v>
      </c>
      <c r="H51" s="89">
        <f t="shared" si="16"/>
        <v>35</v>
      </c>
      <c r="I51" s="46">
        <f t="shared" si="20"/>
        <v>14070</v>
      </c>
      <c r="J51" s="157">
        <f>J4*D51</f>
        <v>12915</v>
      </c>
      <c r="K51" s="115">
        <v>12300</v>
      </c>
      <c r="L51" s="132" t="s">
        <v>101</v>
      </c>
      <c r="M51" s="79">
        <f aca="true" t="shared" si="25" ref="M51:M62">-I51+K51</f>
        <v>-1770</v>
      </c>
      <c r="N51" s="134">
        <f t="shared" si="17"/>
        <v>-765</v>
      </c>
      <c r="O51" s="98">
        <f t="shared" si="21"/>
        <v>9536</v>
      </c>
      <c r="P51" s="116" t="s">
        <v>189</v>
      </c>
      <c r="Q51" s="134">
        <f t="shared" si="1"/>
        <v>-4534</v>
      </c>
      <c r="R51" s="117"/>
      <c r="S51" s="117" t="s">
        <v>24</v>
      </c>
      <c r="T51" s="116" t="s">
        <v>132</v>
      </c>
      <c r="U51" s="163" t="s">
        <v>255</v>
      </c>
      <c r="V51" s="163" t="s">
        <v>189</v>
      </c>
      <c r="W51" s="169">
        <v>0</v>
      </c>
      <c r="X51" s="167">
        <f t="shared" si="22"/>
        <v>9536</v>
      </c>
      <c r="Y51" s="92">
        <f t="shared" si="23"/>
        <v>-3379</v>
      </c>
      <c r="Z51" s="92">
        <v>0</v>
      </c>
      <c r="AA51" s="152">
        <f>Z51+Y51</f>
        <v>-3379</v>
      </c>
      <c r="AB51" s="92">
        <f>Z51/D51</f>
        <v>0</v>
      </c>
      <c r="AC51" s="89">
        <f t="shared" si="24"/>
        <v>3178.6666666666665</v>
      </c>
      <c r="AD51" s="116"/>
      <c r="AE51" s="12"/>
      <c r="AG51" s="89">
        <v>3179</v>
      </c>
    </row>
    <row r="52" spans="1:31" ht="12.75">
      <c r="A52" s="113" t="s">
        <v>37</v>
      </c>
      <c r="B52" s="112"/>
      <c r="C52" s="112" t="s">
        <v>138</v>
      </c>
      <c r="D52" s="114">
        <v>6</v>
      </c>
      <c r="E52" s="45">
        <f t="shared" si="18"/>
        <v>4100</v>
      </c>
      <c r="F52" s="45">
        <f t="shared" si="15"/>
        <v>205</v>
      </c>
      <c r="G52" s="87">
        <f t="shared" si="19"/>
        <v>350</v>
      </c>
      <c r="H52" s="89">
        <f t="shared" si="16"/>
        <v>35</v>
      </c>
      <c r="I52" s="46">
        <f t="shared" si="20"/>
        <v>28140</v>
      </c>
      <c r="J52" s="157">
        <f>J4*D52</f>
        <v>25830</v>
      </c>
      <c r="K52" s="115">
        <v>25000</v>
      </c>
      <c r="L52" s="132" t="s">
        <v>101</v>
      </c>
      <c r="M52" s="79">
        <f t="shared" si="25"/>
        <v>-3140</v>
      </c>
      <c r="N52" s="134">
        <f t="shared" si="17"/>
        <v>-1130</v>
      </c>
      <c r="O52" s="98">
        <f t="shared" si="21"/>
        <v>24000</v>
      </c>
      <c r="P52" s="116" t="s">
        <v>190</v>
      </c>
      <c r="Q52" s="134">
        <f t="shared" si="1"/>
        <v>-4140</v>
      </c>
      <c r="R52" s="145" t="s">
        <v>31</v>
      </c>
      <c r="S52" s="117" t="s">
        <v>24</v>
      </c>
      <c r="T52" s="116"/>
      <c r="U52" s="163"/>
      <c r="V52" s="163" t="s">
        <v>190</v>
      </c>
      <c r="W52" s="169">
        <v>0</v>
      </c>
      <c r="X52" s="167">
        <f t="shared" si="22"/>
        <v>24000</v>
      </c>
      <c r="Y52" s="92">
        <f t="shared" si="23"/>
        <v>-1830</v>
      </c>
      <c r="Z52" s="152"/>
      <c r="AA52" s="152"/>
      <c r="AB52" s="152"/>
      <c r="AC52" s="203">
        <f t="shared" si="24"/>
        <v>4000</v>
      </c>
      <c r="AD52" s="116"/>
      <c r="AE52" s="12"/>
    </row>
    <row r="53" spans="1:31" ht="12.75">
      <c r="A53" s="113" t="s">
        <v>38</v>
      </c>
      <c r="B53" s="112"/>
      <c r="C53" s="112" t="s">
        <v>27</v>
      </c>
      <c r="D53" s="114">
        <v>3</v>
      </c>
      <c r="E53" s="45">
        <f t="shared" si="18"/>
        <v>4100</v>
      </c>
      <c r="F53" s="45">
        <f t="shared" si="15"/>
        <v>205</v>
      </c>
      <c r="G53" s="87">
        <f t="shared" si="19"/>
        <v>350</v>
      </c>
      <c r="H53" s="89">
        <f t="shared" si="16"/>
        <v>35</v>
      </c>
      <c r="I53" s="46">
        <f t="shared" si="20"/>
        <v>14070</v>
      </c>
      <c r="J53" s="157">
        <f>J4*D53</f>
        <v>12915</v>
      </c>
      <c r="K53" s="115">
        <v>12400</v>
      </c>
      <c r="L53" s="132" t="s">
        <v>101</v>
      </c>
      <c r="M53" s="79">
        <f t="shared" si="25"/>
        <v>-1670</v>
      </c>
      <c r="N53" s="134">
        <f t="shared" si="17"/>
        <v>-665</v>
      </c>
      <c r="O53" s="98">
        <f t="shared" si="21"/>
        <v>14306</v>
      </c>
      <c r="P53" s="116" t="s">
        <v>248</v>
      </c>
      <c r="Q53" s="134">
        <f t="shared" si="1"/>
        <v>236</v>
      </c>
      <c r="R53" s="117"/>
      <c r="S53" s="117" t="s">
        <v>24</v>
      </c>
      <c r="T53" s="116" t="s">
        <v>133</v>
      </c>
      <c r="U53" s="163" t="s">
        <v>255</v>
      </c>
      <c r="V53" s="163" t="s">
        <v>248</v>
      </c>
      <c r="W53" s="169">
        <v>2300</v>
      </c>
      <c r="X53" s="167">
        <f t="shared" si="22"/>
        <v>14306</v>
      </c>
      <c r="Y53" s="152">
        <f t="shared" si="23"/>
        <v>1391</v>
      </c>
      <c r="Z53" s="152"/>
      <c r="AA53" s="152"/>
      <c r="AB53" s="152"/>
      <c r="AC53" s="172">
        <f t="shared" si="24"/>
        <v>4768.666666666667</v>
      </c>
      <c r="AD53" s="116"/>
      <c r="AE53" s="12"/>
    </row>
    <row r="54" spans="1:31" ht="12.75">
      <c r="A54" s="113" t="s">
        <v>40</v>
      </c>
      <c r="B54" s="112"/>
      <c r="C54" s="112" t="s">
        <v>139</v>
      </c>
      <c r="D54" s="114">
        <v>1</v>
      </c>
      <c r="E54" s="45">
        <f t="shared" si="18"/>
        <v>4100</v>
      </c>
      <c r="F54" s="45">
        <f t="shared" si="15"/>
        <v>205</v>
      </c>
      <c r="G54" s="87">
        <f t="shared" si="19"/>
        <v>350</v>
      </c>
      <c r="H54" s="89">
        <f t="shared" si="16"/>
        <v>35</v>
      </c>
      <c r="I54" s="46">
        <f t="shared" si="20"/>
        <v>4690</v>
      </c>
      <c r="J54" s="157">
        <f>J4*D54</f>
        <v>4305</v>
      </c>
      <c r="K54" s="115">
        <v>4200</v>
      </c>
      <c r="L54" s="132" t="s">
        <v>101</v>
      </c>
      <c r="M54" s="79">
        <f t="shared" si="25"/>
        <v>-490</v>
      </c>
      <c r="N54" s="134">
        <f t="shared" si="17"/>
        <v>-155</v>
      </c>
      <c r="O54" s="98">
        <f t="shared" si="21"/>
        <v>4200</v>
      </c>
      <c r="P54" s="116" t="s">
        <v>194</v>
      </c>
      <c r="Q54" s="134">
        <f t="shared" si="1"/>
        <v>-490</v>
      </c>
      <c r="R54" s="145" t="s">
        <v>31</v>
      </c>
      <c r="S54" s="117" t="s">
        <v>24</v>
      </c>
      <c r="T54" s="116"/>
      <c r="U54" s="163"/>
      <c r="V54" s="163" t="s">
        <v>194</v>
      </c>
      <c r="W54" s="169">
        <v>0</v>
      </c>
      <c r="X54" s="167">
        <f t="shared" si="22"/>
        <v>4200</v>
      </c>
      <c r="Y54" s="152">
        <f t="shared" si="23"/>
        <v>-105</v>
      </c>
      <c r="Z54" s="152"/>
      <c r="AA54" s="152"/>
      <c r="AB54" s="152"/>
      <c r="AC54" s="172">
        <f t="shared" si="24"/>
        <v>4200</v>
      </c>
      <c r="AD54" s="116"/>
      <c r="AE54" s="12"/>
    </row>
    <row r="55" spans="1:31" ht="12.75">
      <c r="A55" s="109" t="s">
        <v>8</v>
      </c>
      <c r="B55" s="43" t="s">
        <v>5</v>
      </c>
      <c r="C55" s="76" t="s">
        <v>9</v>
      </c>
      <c r="D55" s="77">
        <v>2</v>
      </c>
      <c r="E55" s="45">
        <f t="shared" si="18"/>
        <v>4100</v>
      </c>
      <c r="F55" s="45">
        <f t="shared" si="15"/>
        <v>205</v>
      </c>
      <c r="G55" s="87">
        <f t="shared" si="19"/>
        <v>350</v>
      </c>
      <c r="H55" s="89">
        <f t="shared" si="16"/>
        <v>35</v>
      </c>
      <c r="I55" s="46">
        <f t="shared" si="20"/>
        <v>9380</v>
      </c>
      <c r="J55" s="157">
        <f>J4*D55</f>
        <v>8610</v>
      </c>
      <c r="K55" s="78">
        <v>8272</v>
      </c>
      <c r="L55" s="132" t="s">
        <v>103</v>
      </c>
      <c r="M55" s="79">
        <f t="shared" si="25"/>
        <v>-1108</v>
      </c>
      <c r="N55" s="134">
        <f t="shared" si="17"/>
        <v>-438</v>
      </c>
      <c r="O55" s="98">
        <f t="shared" si="21"/>
        <v>8204</v>
      </c>
      <c r="P55" s="51" t="s">
        <v>343</v>
      </c>
      <c r="Q55" s="134">
        <f t="shared" si="1"/>
        <v>-1176</v>
      </c>
      <c r="R55" s="145"/>
      <c r="S55" s="117" t="s">
        <v>24</v>
      </c>
      <c r="T55" s="51"/>
      <c r="U55" s="162" t="s">
        <v>253</v>
      </c>
      <c r="V55" s="162"/>
      <c r="W55" s="167">
        <v>8200</v>
      </c>
      <c r="X55" s="167">
        <f t="shared" si="22"/>
        <v>8204</v>
      </c>
      <c r="Y55" s="152">
        <f t="shared" si="23"/>
        <v>-406</v>
      </c>
      <c r="Z55" s="152"/>
      <c r="AA55" s="152"/>
      <c r="AB55" s="152"/>
      <c r="AC55" s="172">
        <f t="shared" si="24"/>
        <v>4102</v>
      </c>
      <c r="AD55" s="90"/>
      <c r="AE55" s="9"/>
    </row>
    <row r="56" spans="1:31" ht="12.75">
      <c r="A56" s="109" t="s">
        <v>10</v>
      </c>
      <c r="B56" s="43" t="s">
        <v>5</v>
      </c>
      <c r="C56" s="76" t="s">
        <v>11</v>
      </c>
      <c r="D56" s="77">
        <v>1</v>
      </c>
      <c r="E56" s="45">
        <f t="shared" si="18"/>
        <v>4100</v>
      </c>
      <c r="F56" s="45">
        <f t="shared" si="15"/>
        <v>205</v>
      </c>
      <c r="G56" s="87">
        <f t="shared" si="19"/>
        <v>350</v>
      </c>
      <c r="H56" s="89">
        <f t="shared" si="16"/>
        <v>35</v>
      </c>
      <c r="I56" s="46">
        <f t="shared" si="20"/>
        <v>4690</v>
      </c>
      <c r="J56" s="157">
        <f>J4*D56</f>
        <v>4305</v>
      </c>
      <c r="K56" s="78">
        <v>4136</v>
      </c>
      <c r="L56" s="47" t="s">
        <v>103</v>
      </c>
      <c r="M56" s="79">
        <f t="shared" si="25"/>
        <v>-554</v>
      </c>
      <c r="N56" s="134">
        <f t="shared" si="17"/>
        <v>-219</v>
      </c>
      <c r="O56" s="98">
        <f t="shared" si="21"/>
        <v>4102</v>
      </c>
      <c r="P56" s="51" t="s">
        <v>340</v>
      </c>
      <c r="Q56" s="134">
        <f t="shared" si="1"/>
        <v>-588</v>
      </c>
      <c r="R56" s="145"/>
      <c r="S56" s="117" t="s">
        <v>24</v>
      </c>
      <c r="T56" s="51"/>
      <c r="U56" s="162" t="s">
        <v>243</v>
      </c>
      <c r="V56" s="162"/>
      <c r="W56" s="167">
        <v>4100</v>
      </c>
      <c r="X56" s="167">
        <f t="shared" si="22"/>
        <v>4102</v>
      </c>
      <c r="Y56" s="152">
        <f t="shared" si="23"/>
        <v>-203</v>
      </c>
      <c r="Z56" s="152"/>
      <c r="AA56" s="152"/>
      <c r="AB56" s="152"/>
      <c r="AC56" s="172">
        <f t="shared" si="24"/>
        <v>4102</v>
      </c>
      <c r="AD56" s="90"/>
      <c r="AE56" s="9"/>
    </row>
    <row r="57" spans="1:31" ht="12.75">
      <c r="A57" s="109" t="s">
        <v>105</v>
      </c>
      <c r="B57" s="43" t="s">
        <v>5</v>
      </c>
      <c r="C57" s="76" t="s">
        <v>111</v>
      </c>
      <c r="D57" s="77">
        <v>1</v>
      </c>
      <c r="E57" s="45">
        <f t="shared" si="18"/>
        <v>4100</v>
      </c>
      <c r="F57" s="45">
        <f t="shared" si="15"/>
        <v>205</v>
      </c>
      <c r="G57" s="87">
        <f t="shared" si="19"/>
        <v>350</v>
      </c>
      <c r="H57" s="89">
        <f t="shared" si="16"/>
        <v>35</v>
      </c>
      <c r="I57" s="46">
        <f t="shared" si="20"/>
        <v>4690</v>
      </c>
      <c r="J57" s="157">
        <f>J4*D57</f>
        <v>4305</v>
      </c>
      <c r="K57" s="78">
        <v>4200</v>
      </c>
      <c r="L57" s="47" t="s">
        <v>103</v>
      </c>
      <c r="M57" s="79">
        <f t="shared" si="25"/>
        <v>-490</v>
      </c>
      <c r="N57" s="134">
        <f t="shared" si="17"/>
        <v>-155</v>
      </c>
      <c r="O57" s="98">
        <f t="shared" si="21"/>
        <v>4102</v>
      </c>
      <c r="P57" s="51" t="s">
        <v>340</v>
      </c>
      <c r="Q57" s="134">
        <f t="shared" si="1"/>
        <v>-588</v>
      </c>
      <c r="R57" s="145"/>
      <c r="S57" s="117" t="s">
        <v>24</v>
      </c>
      <c r="T57" s="51"/>
      <c r="U57" s="162" t="s">
        <v>243</v>
      </c>
      <c r="V57" s="162" t="s">
        <v>193</v>
      </c>
      <c r="W57" s="167">
        <v>1800</v>
      </c>
      <c r="X57" s="167">
        <f t="shared" si="22"/>
        <v>4102</v>
      </c>
      <c r="Y57" s="152">
        <f t="shared" si="23"/>
        <v>-203</v>
      </c>
      <c r="Z57" s="152"/>
      <c r="AA57" s="152"/>
      <c r="AB57" s="152"/>
      <c r="AC57" s="172">
        <f t="shared" si="24"/>
        <v>4102</v>
      </c>
      <c r="AD57" s="90"/>
      <c r="AE57" s="9"/>
    </row>
    <row r="58" spans="1:31" ht="12.75">
      <c r="A58" s="109" t="s">
        <v>106</v>
      </c>
      <c r="B58" s="43" t="s">
        <v>5</v>
      </c>
      <c r="C58" s="76" t="s">
        <v>12</v>
      </c>
      <c r="D58" s="77">
        <v>1</v>
      </c>
      <c r="E58" s="45">
        <f t="shared" si="18"/>
        <v>4100</v>
      </c>
      <c r="F58" s="45">
        <f t="shared" si="15"/>
        <v>205</v>
      </c>
      <c r="G58" s="87">
        <f t="shared" si="19"/>
        <v>350</v>
      </c>
      <c r="H58" s="89">
        <f t="shared" si="16"/>
        <v>35</v>
      </c>
      <c r="I58" s="46">
        <f>D58*(E58+F58+G58+H58)</f>
        <v>4690</v>
      </c>
      <c r="J58" s="157">
        <f>J4*D58</f>
        <v>4305</v>
      </c>
      <c r="K58" s="78">
        <v>4200</v>
      </c>
      <c r="L58" s="47" t="s">
        <v>103</v>
      </c>
      <c r="M58" s="79">
        <f t="shared" si="25"/>
        <v>-490</v>
      </c>
      <c r="N58" s="134">
        <f t="shared" si="17"/>
        <v>-155</v>
      </c>
      <c r="O58" s="98">
        <f t="shared" si="21"/>
        <v>4102</v>
      </c>
      <c r="P58" s="51" t="s">
        <v>340</v>
      </c>
      <c r="Q58" s="134">
        <f t="shared" si="1"/>
        <v>-588</v>
      </c>
      <c r="R58" s="145"/>
      <c r="S58" s="117" t="s">
        <v>24</v>
      </c>
      <c r="T58" s="51"/>
      <c r="U58" s="162" t="s">
        <v>243</v>
      </c>
      <c r="V58" s="162"/>
      <c r="W58" s="167">
        <v>4100</v>
      </c>
      <c r="X58" s="167">
        <f t="shared" si="22"/>
        <v>4102</v>
      </c>
      <c r="Y58" s="152">
        <f t="shared" si="23"/>
        <v>-203</v>
      </c>
      <c r="Z58" s="152"/>
      <c r="AA58" s="152"/>
      <c r="AB58" s="152"/>
      <c r="AC58" s="172">
        <f t="shared" si="24"/>
        <v>4102</v>
      </c>
      <c r="AD58" s="90"/>
      <c r="AE58" s="9"/>
    </row>
    <row r="59" spans="1:31" ht="12.75">
      <c r="A59" s="109" t="s">
        <v>107</v>
      </c>
      <c r="B59" s="43" t="s">
        <v>5</v>
      </c>
      <c r="C59" s="76" t="s">
        <v>110</v>
      </c>
      <c r="D59" s="77">
        <v>0.15</v>
      </c>
      <c r="E59" s="45">
        <f t="shared" si="18"/>
        <v>4100</v>
      </c>
      <c r="F59" s="45">
        <f t="shared" si="15"/>
        <v>205</v>
      </c>
      <c r="G59" s="87">
        <f t="shared" si="19"/>
        <v>350</v>
      </c>
      <c r="H59" s="89">
        <f t="shared" si="16"/>
        <v>35</v>
      </c>
      <c r="I59" s="46">
        <f t="shared" si="20"/>
        <v>703.5</v>
      </c>
      <c r="J59" s="157">
        <f>J4*D59</f>
        <v>645.75</v>
      </c>
      <c r="K59" s="78">
        <v>800</v>
      </c>
      <c r="L59" s="132" t="s">
        <v>103</v>
      </c>
      <c r="M59" s="79">
        <f t="shared" si="25"/>
        <v>96.5</v>
      </c>
      <c r="N59" s="134">
        <f t="shared" si="17"/>
        <v>146.75</v>
      </c>
      <c r="O59" s="98">
        <f t="shared" si="21"/>
        <v>800</v>
      </c>
      <c r="P59" s="51" t="s">
        <v>268</v>
      </c>
      <c r="Q59" s="134">
        <f t="shared" si="1"/>
        <v>96.5</v>
      </c>
      <c r="R59" s="145"/>
      <c r="S59" s="117" t="s">
        <v>24</v>
      </c>
      <c r="T59" s="51"/>
      <c r="U59" s="162"/>
      <c r="V59" s="162"/>
      <c r="W59" s="167">
        <v>800</v>
      </c>
      <c r="X59" s="167">
        <f t="shared" si="22"/>
        <v>800</v>
      </c>
      <c r="Y59" s="152">
        <f t="shared" si="23"/>
        <v>154.25</v>
      </c>
      <c r="Z59" s="152"/>
      <c r="AA59" s="152"/>
      <c r="AB59" s="152"/>
      <c r="AC59" s="172">
        <f t="shared" si="24"/>
        <v>5333.333333333334</v>
      </c>
      <c r="AD59" s="90"/>
      <c r="AE59" s="9"/>
    </row>
    <row r="60" spans="1:31" ht="12.75">
      <c r="A60" s="109" t="s">
        <v>109</v>
      </c>
      <c r="B60" s="43"/>
      <c r="C60" s="76" t="s">
        <v>108</v>
      </c>
      <c r="D60" s="77">
        <v>0.1</v>
      </c>
      <c r="E60" s="45">
        <f t="shared" si="18"/>
        <v>4100</v>
      </c>
      <c r="F60" s="45">
        <f t="shared" si="15"/>
        <v>205</v>
      </c>
      <c r="G60" s="87">
        <f t="shared" si="19"/>
        <v>350</v>
      </c>
      <c r="H60" s="89">
        <f t="shared" si="16"/>
        <v>35</v>
      </c>
      <c r="I60" s="46">
        <f>D60*(E60+F60+G60+H60)</f>
        <v>469</v>
      </c>
      <c r="J60" s="157">
        <f>J4*D60</f>
        <v>430.5</v>
      </c>
      <c r="K60" s="78">
        <v>280</v>
      </c>
      <c r="L60" s="132" t="s">
        <v>103</v>
      </c>
      <c r="M60" s="79">
        <f t="shared" si="25"/>
        <v>-189</v>
      </c>
      <c r="N60" s="134">
        <f t="shared" si="17"/>
        <v>-155.5</v>
      </c>
      <c r="O60" s="98">
        <f t="shared" si="21"/>
        <v>331</v>
      </c>
      <c r="P60" s="90" t="s">
        <v>191</v>
      </c>
      <c r="Q60" s="134">
        <f t="shared" si="1"/>
        <v>-138</v>
      </c>
      <c r="R60" s="145"/>
      <c r="S60" s="117" t="s">
        <v>24</v>
      </c>
      <c r="T60" s="51"/>
      <c r="U60" s="162"/>
      <c r="V60" s="162" t="s">
        <v>348</v>
      </c>
      <c r="W60" s="167">
        <v>140</v>
      </c>
      <c r="X60" s="167">
        <f t="shared" si="22"/>
        <v>331</v>
      </c>
      <c r="Y60" s="92">
        <f t="shared" si="23"/>
        <v>-99.5</v>
      </c>
      <c r="Z60" s="92">
        <v>51</v>
      </c>
      <c r="AA60" s="152"/>
      <c r="AB60" s="152"/>
      <c r="AC60" s="89">
        <f t="shared" si="24"/>
        <v>3310</v>
      </c>
      <c r="AD60" s="90"/>
      <c r="AE60" s="9"/>
    </row>
    <row r="61" spans="1:31" ht="12.75">
      <c r="A61" s="109" t="s">
        <v>13</v>
      </c>
      <c r="B61" s="43"/>
      <c r="C61" s="76"/>
      <c r="D61" s="77">
        <v>1</v>
      </c>
      <c r="E61" s="45">
        <f t="shared" si="18"/>
        <v>4100</v>
      </c>
      <c r="F61" s="45">
        <f t="shared" si="15"/>
        <v>205</v>
      </c>
      <c r="G61" s="87">
        <f t="shared" si="19"/>
        <v>350</v>
      </c>
      <c r="H61" s="89">
        <f t="shared" si="16"/>
        <v>35</v>
      </c>
      <c r="I61" s="46">
        <f t="shared" si="20"/>
        <v>4690</v>
      </c>
      <c r="J61" s="157">
        <f>J4*D61</f>
        <v>4305</v>
      </c>
      <c r="K61" s="78">
        <v>4250</v>
      </c>
      <c r="L61" s="47" t="s">
        <v>103</v>
      </c>
      <c r="M61" s="79">
        <f t="shared" si="25"/>
        <v>-440</v>
      </c>
      <c r="N61" s="134">
        <f t="shared" si="17"/>
        <v>-105</v>
      </c>
      <c r="O61" s="98">
        <f t="shared" si="21"/>
        <v>4100</v>
      </c>
      <c r="P61" s="51" t="s">
        <v>340</v>
      </c>
      <c r="Q61" s="134">
        <f t="shared" si="1"/>
        <v>-590</v>
      </c>
      <c r="R61" s="145"/>
      <c r="S61" s="117" t="s">
        <v>24</v>
      </c>
      <c r="T61" s="51"/>
      <c r="U61" s="162"/>
      <c r="V61" s="162" t="s">
        <v>192</v>
      </c>
      <c r="W61" s="167">
        <v>3950</v>
      </c>
      <c r="X61" s="167">
        <f t="shared" si="22"/>
        <v>4100</v>
      </c>
      <c r="Y61" s="152">
        <f t="shared" si="23"/>
        <v>-205</v>
      </c>
      <c r="Z61" s="152"/>
      <c r="AA61" s="152"/>
      <c r="AB61" s="152"/>
      <c r="AC61" s="172">
        <f t="shared" si="24"/>
        <v>4100</v>
      </c>
      <c r="AD61" s="90"/>
      <c r="AE61" s="9"/>
    </row>
    <row r="62" spans="1:31" ht="12.75">
      <c r="A62" s="109" t="s">
        <v>14</v>
      </c>
      <c r="B62" s="43"/>
      <c r="C62" s="76"/>
      <c r="D62" s="77">
        <v>1</v>
      </c>
      <c r="E62" s="45">
        <f t="shared" si="18"/>
        <v>4100</v>
      </c>
      <c r="F62" s="45">
        <f t="shared" si="15"/>
        <v>205</v>
      </c>
      <c r="G62" s="87">
        <f t="shared" si="19"/>
        <v>350</v>
      </c>
      <c r="H62" s="89">
        <f t="shared" si="16"/>
        <v>35</v>
      </c>
      <c r="I62" s="46">
        <f t="shared" si="20"/>
        <v>4690</v>
      </c>
      <c r="J62" s="157">
        <f>J4*D62</f>
        <v>4305</v>
      </c>
      <c r="K62" s="78">
        <v>4273</v>
      </c>
      <c r="L62" s="47" t="s">
        <v>103</v>
      </c>
      <c r="M62" s="79">
        <f t="shared" si="25"/>
        <v>-417</v>
      </c>
      <c r="N62" s="134">
        <f t="shared" si="17"/>
        <v>-82</v>
      </c>
      <c r="O62" s="98">
        <f t="shared" si="21"/>
        <v>4100</v>
      </c>
      <c r="P62" s="51" t="s">
        <v>340</v>
      </c>
      <c r="Q62" s="134">
        <f>-I62+O62</f>
        <v>-590</v>
      </c>
      <c r="R62" s="145"/>
      <c r="S62" s="117" t="s">
        <v>24</v>
      </c>
      <c r="T62" s="51"/>
      <c r="U62" s="162"/>
      <c r="V62" s="162" t="s">
        <v>180</v>
      </c>
      <c r="W62" s="167">
        <v>4000</v>
      </c>
      <c r="X62" s="167">
        <f t="shared" si="22"/>
        <v>4100</v>
      </c>
      <c r="Y62" s="152">
        <f t="shared" si="23"/>
        <v>-205</v>
      </c>
      <c r="Z62" s="152"/>
      <c r="AA62" s="152"/>
      <c r="AB62" s="152"/>
      <c r="AC62" s="172">
        <f t="shared" si="24"/>
        <v>4100</v>
      </c>
      <c r="AD62" s="90"/>
      <c r="AE62" s="9"/>
    </row>
    <row r="63" spans="1:31" ht="12.75">
      <c r="A63" s="103" t="s">
        <v>124</v>
      </c>
      <c r="B63" s="65"/>
      <c r="C63" s="65"/>
      <c r="D63" s="104"/>
      <c r="E63" s="66"/>
      <c r="F63" s="67"/>
      <c r="G63" s="67"/>
      <c r="H63" s="104"/>
      <c r="I63" s="68"/>
      <c r="J63" s="68"/>
      <c r="K63" s="69"/>
      <c r="L63" s="69"/>
      <c r="M63" s="68"/>
      <c r="N63" s="68"/>
      <c r="O63" s="105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6"/>
      <c r="AD63" s="73"/>
      <c r="AE63" s="15"/>
    </row>
    <row r="64" spans="1:31" ht="12.75">
      <c r="A64" s="110" t="s">
        <v>127</v>
      </c>
      <c r="B64" s="84"/>
      <c r="C64" s="133"/>
      <c r="D64" s="77">
        <v>1</v>
      </c>
      <c r="E64" s="45">
        <f>3482</f>
        <v>3482</v>
      </c>
      <c r="F64" s="45">
        <f>$E64*5/100</f>
        <v>174.1</v>
      </c>
      <c r="G64" s="87">
        <f>274</f>
        <v>274</v>
      </c>
      <c r="H64" s="89">
        <f>$G64*10/100</f>
        <v>27.4</v>
      </c>
      <c r="I64" s="46">
        <f>D64*(E64+F64+G64+H64)</f>
        <v>3957.5</v>
      </c>
      <c r="J64" s="46"/>
      <c r="K64" s="88"/>
      <c r="L64" s="89"/>
      <c r="M64" s="134"/>
      <c r="N64" s="134"/>
      <c r="O64" s="89"/>
      <c r="P64" s="90"/>
      <c r="Q64" s="134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0" t="s">
        <v>125</v>
      </c>
      <c r="B65" s="84"/>
      <c r="C65" s="133"/>
      <c r="D65" s="77">
        <v>2</v>
      </c>
      <c r="E65" s="45">
        <f>3482</f>
        <v>3482</v>
      </c>
      <c r="F65" s="45">
        <f>$E65*5/100</f>
        <v>174.1</v>
      </c>
      <c r="G65" s="87">
        <f>274</f>
        <v>274</v>
      </c>
      <c r="H65" s="89">
        <f>$G65*10/100</f>
        <v>27.4</v>
      </c>
      <c r="I65" s="46">
        <f>D65*(E65+F65+G65+H65)</f>
        <v>7915</v>
      </c>
      <c r="J65" s="46"/>
      <c r="K65" s="88"/>
      <c r="L65" s="89"/>
      <c r="M65" s="134"/>
      <c r="N65" s="134"/>
      <c r="O65" s="89"/>
      <c r="P65" s="90"/>
      <c r="Q65" s="134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0" t="s">
        <v>126</v>
      </c>
      <c r="B66" s="84"/>
      <c r="C66" s="133"/>
      <c r="D66" s="77">
        <v>2</v>
      </c>
      <c r="E66" s="45">
        <f>3482</f>
        <v>3482</v>
      </c>
      <c r="F66" s="45">
        <f>$E66*5/100</f>
        <v>174.1</v>
      </c>
      <c r="G66" s="87">
        <f>274</f>
        <v>274</v>
      </c>
      <c r="H66" s="89">
        <f>$G66*10/100</f>
        <v>27.4</v>
      </c>
      <c r="I66" s="46">
        <f>D66*(E66+F66+G66+H66)</f>
        <v>7915</v>
      </c>
      <c r="J66" s="46"/>
      <c r="K66" s="88"/>
      <c r="L66" s="89"/>
      <c r="M66" s="134"/>
      <c r="N66" s="134"/>
      <c r="O66" s="89"/>
      <c r="P66" s="90"/>
      <c r="Q66" s="134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0" t="s">
        <v>128</v>
      </c>
      <c r="B67" s="84"/>
      <c r="C67" s="133"/>
      <c r="D67" s="135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4"/>
      <c r="N67" s="134"/>
      <c r="O67" s="89"/>
      <c r="P67" s="90"/>
      <c r="Q67" s="134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1" ht="12.75">
      <c r="A68" s="103" t="s">
        <v>75</v>
      </c>
      <c r="B68" s="65"/>
      <c r="C68" s="65"/>
      <c r="D68" s="104"/>
      <c r="E68" s="66"/>
      <c r="F68" s="67"/>
      <c r="G68" s="67"/>
      <c r="H68" s="104"/>
      <c r="I68" s="68"/>
      <c r="J68" s="68"/>
      <c r="K68" s="69"/>
      <c r="L68" s="69"/>
      <c r="M68" s="68"/>
      <c r="N68" s="68"/>
      <c r="O68" s="105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6"/>
      <c r="AD68" s="73"/>
      <c r="AE68" s="15"/>
    </row>
    <row r="69" spans="1:31" ht="12.75">
      <c r="A69" s="93" t="s">
        <v>74</v>
      </c>
      <c r="B69" s="43"/>
      <c r="C69" s="60"/>
      <c r="D69" s="44">
        <v>1</v>
      </c>
      <c r="E69" s="86"/>
      <c r="F69" s="86"/>
      <c r="G69" s="87">
        <f>$G$4</f>
        <v>350</v>
      </c>
      <c r="H69" s="89">
        <f>$G69*10/100</f>
        <v>35</v>
      </c>
      <c r="I69" s="46">
        <f>D69*(E69+F69+G69+H69)</f>
        <v>385</v>
      </c>
      <c r="J69" s="46"/>
      <c r="K69" s="57"/>
      <c r="L69" s="52"/>
      <c r="M69" s="79">
        <f>-I69+K69</f>
        <v>-385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1"/>
      <c r="AD69" s="90"/>
      <c r="AE69" s="9"/>
    </row>
    <row r="70" spans="1:31" ht="12.75">
      <c r="A70" s="93" t="s">
        <v>76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4"/>
      <c r="N70" s="134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1"/>
      <c r="AD70" s="90"/>
      <c r="AE70" s="15"/>
    </row>
    <row r="71" spans="1:31" ht="12.75">
      <c r="A71" s="93" t="s">
        <v>77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4"/>
      <c r="N71" s="134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1"/>
      <c r="AD71" s="90"/>
      <c r="AE71" s="15"/>
    </row>
    <row r="72" spans="1:31" ht="12.75">
      <c r="A72" s="93" t="s">
        <v>81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4"/>
      <c r="N72" s="134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1"/>
      <c r="AD72" s="90"/>
      <c r="AE72" s="15"/>
    </row>
    <row r="73" spans="1:31" ht="12.75">
      <c r="A73" s="136" t="s">
        <v>1</v>
      </c>
      <c r="B73" s="137"/>
      <c r="C73" s="137"/>
      <c r="D73" s="138"/>
      <c r="E73" s="138"/>
      <c r="F73" s="138"/>
      <c r="G73" s="173"/>
      <c r="H73" s="174"/>
      <c r="I73" s="139">
        <f>SUM(I6:I72)</f>
        <v>1511755.25</v>
      </c>
      <c r="J73" s="139"/>
      <c r="K73" s="139">
        <f>SUM(K6:K72)</f>
        <v>1221651</v>
      </c>
      <c r="L73" s="140"/>
      <c r="M73" s="141">
        <f>SUM(M6:M72)</f>
        <v>-210646.75</v>
      </c>
      <c r="N73" s="141"/>
      <c r="O73" s="140"/>
      <c r="P73" s="142"/>
      <c r="Q73" s="140"/>
      <c r="R73" s="143"/>
      <c r="S73" s="143"/>
      <c r="T73" s="142"/>
      <c r="U73" s="142"/>
      <c r="V73" s="142"/>
      <c r="W73" s="140">
        <f>SUM(W6:W72)</f>
        <v>34285</v>
      </c>
      <c r="X73" s="140"/>
      <c r="Y73" s="144">
        <f>SUM(Y6:Y72)</f>
        <v>-601379.25</v>
      </c>
      <c r="Z73" s="144"/>
      <c r="AA73" s="144"/>
      <c r="AB73" s="144"/>
      <c r="AC73" s="140"/>
      <c r="AD73" s="142"/>
      <c r="AE73" s="9"/>
    </row>
    <row r="74" spans="1:31" ht="12.75">
      <c r="A74" s="8"/>
      <c r="B74" s="30"/>
      <c r="C74" s="30"/>
      <c r="D74" s="28"/>
      <c r="E74" s="28"/>
      <c r="F74" s="28"/>
      <c r="G74" s="154"/>
      <c r="H74" s="154"/>
      <c r="I74" s="5"/>
      <c r="J74" s="5"/>
      <c r="K74" s="7"/>
      <c r="L74" s="6"/>
      <c r="M74" s="4"/>
      <c r="N74" s="4"/>
      <c r="O74" s="153"/>
      <c r="P74" s="4"/>
      <c r="Q74" s="23"/>
      <c r="R74" s="31"/>
      <c r="S74" s="31"/>
      <c r="T74" s="13"/>
      <c r="U74" s="166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4"/>
      <c r="H75" s="155"/>
      <c r="I75" s="5"/>
      <c r="J75" s="5"/>
      <c r="K75" s="7"/>
      <c r="L75" s="7"/>
      <c r="M75" s="5"/>
      <c r="N75" s="5"/>
      <c r="O75" s="153"/>
      <c r="P75" s="5"/>
      <c r="Q75" s="23"/>
      <c r="R75" s="31"/>
      <c r="S75" s="31"/>
      <c r="T75" s="13"/>
      <c r="U75" s="166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4"/>
      <c r="H76" s="154"/>
      <c r="I76" s="5"/>
      <c r="J76" s="5"/>
      <c r="K76" s="7"/>
      <c r="L76" s="6"/>
      <c r="M76" s="4"/>
      <c r="N76" s="4"/>
      <c r="O76" s="153"/>
      <c r="P76" s="4"/>
      <c r="Q76" s="23"/>
      <c r="R76" s="31"/>
      <c r="S76" s="31"/>
      <c r="T76" s="13"/>
      <c r="U76" s="166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4"/>
      <c r="H77" s="154"/>
      <c r="I77" s="5"/>
      <c r="J77" s="5"/>
      <c r="K77" s="7"/>
      <c r="L77" s="6"/>
      <c r="M77" s="4"/>
      <c r="N77" s="4"/>
      <c r="O77" s="153"/>
      <c r="P77" s="4"/>
      <c r="Q77" s="23"/>
      <c r="R77" s="31"/>
      <c r="S77" s="31"/>
      <c r="T77" s="13"/>
      <c r="U77" s="166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4"/>
      <c r="H78" s="154"/>
      <c r="I78" s="5"/>
      <c r="J78" s="5"/>
      <c r="K78" s="7"/>
      <c r="L78" s="6"/>
      <c r="M78" s="4"/>
      <c r="N78" s="4"/>
      <c r="O78" s="153"/>
      <c r="P78" s="4"/>
      <c r="Q78" s="23"/>
      <c r="R78" s="31"/>
      <c r="S78" s="31"/>
      <c r="T78" s="13"/>
      <c r="U78" s="166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4"/>
      <c r="I79" s="5"/>
      <c r="J79" s="5"/>
      <c r="K79" s="7"/>
      <c r="L79" s="6"/>
      <c r="M79" s="4"/>
      <c r="N79" s="4"/>
      <c r="O79" s="153"/>
      <c r="P79" s="4"/>
      <c r="Q79" s="23"/>
      <c r="R79" s="31"/>
      <c r="S79" s="31"/>
      <c r="T79" s="13"/>
      <c r="U79" s="166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4"/>
      <c r="H80" s="154"/>
      <c r="I80" s="5"/>
      <c r="J80" s="5"/>
      <c r="K80" s="7"/>
      <c r="L80" s="6"/>
      <c r="M80" s="4"/>
      <c r="N80" s="4"/>
      <c r="O80" s="153"/>
      <c r="P80" s="4"/>
      <c r="Q80" s="23"/>
      <c r="R80" s="31"/>
      <c r="S80" s="31"/>
      <c r="T80" s="13"/>
      <c r="U80" s="166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4"/>
      <c r="H81" s="154"/>
      <c r="I81" s="5"/>
      <c r="J81" s="5"/>
      <c r="K81" s="7"/>
      <c r="L81" s="6"/>
      <c r="M81" s="4"/>
      <c r="N81" s="4"/>
      <c r="O81" s="153"/>
      <c r="P81" s="4"/>
      <c r="Q81" s="23"/>
      <c r="R81" s="31"/>
      <c r="S81" s="31"/>
      <c r="T81" s="13"/>
      <c r="U81" s="166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4"/>
      <c r="H82" s="154"/>
      <c r="I82" s="5"/>
      <c r="J82" s="5"/>
      <c r="K82" s="7"/>
      <c r="L82" s="6"/>
      <c r="M82" s="4"/>
      <c r="N82" s="4"/>
      <c r="O82" s="153"/>
      <c r="P82" s="4"/>
      <c r="Q82" s="23"/>
      <c r="R82" s="31"/>
      <c r="S82" s="31"/>
      <c r="T82" s="13"/>
      <c r="U82" s="166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4"/>
      <c r="H83" s="154"/>
      <c r="I83" s="5"/>
      <c r="J83" s="5"/>
      <c r="K83" s="7"/>
      <c r="L83" s="6"/>
      <c r="M83" s="4"/>
      <c r="N83" s="4"/>
      <c r="O83" s="153"/>
      <c r="P83" s="4"/>
      <c r="Q83" s="23"/>
      <c r="R83" s="31"/>
      <c r="S83" s="31"/>
      <c r="T83" s="13"/>
      <c r="U83" s="166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4"/>
      <c r="H84" s="154"/>
      <c r="I84" s="5"/>
      <c r="J84" s="5"/>
      <c r="K84" s="7"/>
      <c r="L84" s="6"/>
      <c r="M84" s="4"/>
      <c r="N84" s="4"/>
      <c r="O84" s="153"/>
      <c r="P84" s="4"/>
      <c r="Q84" s="23"/>
      <c r="R84" s="31"/>
      <c r="S84" s="31"/>
      <c r="T84" s="13"/>
      <c r="U84" s="166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78</v>
      </c>
      <c r="B85" s="60" t="s">
        <v>80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100</v>
      </c>
      <c r="M85" s="79">
        <f>-I85+K85</f>
        <v>0</v>
      </c>
      <c r="N85" s="79"/>
      <c r="O85" s="82">
        <v>50</v>
      </c>
      <c r="P85" s="96" t="s">
        <v>120</v>
      </c>
      <c r="Q85" s="97">
        <f>-K85+O85</f>
        <v>0</v>
      </c>
      <c r="R85" s="50" t="s">
        <v>31</v>
      </c>
      <c r="S85" s="50"/>
      <c r="T85" s="95"/>
      <c r="U85" s="107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79</v>
      </c>
      <c r="B86" s="60" t="s">
        <v>80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100</v>
      </c>
      <c r="M86" s="79">
        <f>-I86+K86</f>
        <v>0</v>
      </c>
      <c r="N86" s="79"/>
      <c r="O86" s="82">
        <v>50</v>
      </c>
      <c r="P86" s="96" t="s">
        <v>119</v>
      </c>
      <c r="Q86" s="97">
        <f>-K86+O86</f>
        <v>0</v>
      </c>
      <c r="R86" s="50" t="s">
        <v>31</v>
      </c>
      <c r="S86" s="50"/>
      <c r="T86" s="95"/>
      <c r="U86" s="107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4"/>
      <c r="H87" s="154"/>
      <c r="I87" s="5"/>
      <c r="J87" s="5"/>
      <c r="K87" s="7"/>
      <c r="L87" s="6"/>
      <c r="M87" s="4"/>
      <c r="N87" s="4"/>
      <c r="O87" s="153"/>
      <c r="P87" s="4"/>
      <c r="Q87" s="23"/>
      <c r="R87" s="31"/>
      <c r="S87" s="31"/>
      <c r="T87" s="13"/>
      <c r="U87" s="166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4"/>
      <c r="H88" s="154"/>
      <c r="I88" s="5"/>
      <c r="J88" s="5"/>
      <c r="K88" s="7"/>
      <c r="L88" s="6"/>
      <c r="M88" s="4"/>
      <c r="N88" s="4"/>
      <c r="O88" s="153"/>
      <c r="P88" s="4"/>
      <c r="Q88" s="23"/>
      <c r="R88" s="31"/>
      <c r="S88" s="31"/>
      <c r="T88" s="13"/>
      <c r="U88" s="166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4"/>
      <c r="H89" s="154"/>
      <c r="I89" s="5"/>
      <c r="J89" s="5"/>
      <c r="K89" s="7"/>
      <c r="L89" s="6"/>
      <c r="M89" s="4"/>
      <c r="N89" s="4"/>
      <c r="O89" s="153"/>
      <c r="P89" s="4"/>
      <c r="Q89" s="23"/>
      <c r="R89" s="31"/>
      <c r="S89" s="31"/>
      <c r="T89" s="13"/>
      <c r="U89" s="166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4"/>
      <c r="H90" s="154"/>
      <c r="I90" s="5"/>
      <c r="J90" s="5"/>
      <c r="K90" s="7"/>
      <c r="L90" s="6"/>
      <c r="M90" s="4"/>
      <c r="N90" s="4"/>
      <c r="O90" s="153"/>
      <c r="P90" s="4"/>
      <c r="Q90" s="23"/>
      <c r="R90" s="31"/>
      <c r="S90" s="31"/>
      <c r="T90" s="13"/>
      <c r="U90" s="166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4"/>
      <c r="H91" s="154"/>
      <c r="I91" s="5"/>
      <c r="J91" s="5"/>
      <c r="K91" s="7"/>
      <c r="L91" s="6"/>
      <c r="M91" s="4"/>
      <c r="N91" s="4"/>
      <c r="O91" s="153"/>
      <c r="P91" s="4"/>
      <c r="Q91" s="23"/>
      <c r="R91" s="31"/>
      <c r="S91" s="31"/>
      <c r="T91" s="13"/>
      <c r="U91" s="166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4"/>
      <c r="H92" s="154"/>
      <c r="I92" s="5"/>
      <c r="J92" s="5"/>
      <c r="K92" s="7"/>
      <c r="L92" s="6"/>
      <c r="M92" s="4"/>
      <c r="N92" s="4"/>
      <c r="O92" s="153"/>
      <c r="P92" s="4"/>
      <c r="Q92" s="23"/>
      <c r="R92" s="31"/>
      <c r="S92" s="31"/>
      <c r="T92" s="13"/>
      <c r="U92" s="166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4"/>
      <c r="H93" s="154"/>
      <c r="I93" s="5"/>
      <c r="J93" s="5"/>
      <c r="K93" s="7"/>
      <c r="L93" s="6"/>
      <c r="M93" s="4"/>
      <c r="N93" s="4"/>
      <c r="O93" s="153"/>
      <c r="P93" s="4"/>
      <c r="Q93" s="23"/>
      <c r="R93" s="31"/>
      <c r="S93" s="31"/>
      <c r="T93" s="13"/>
      <c r="U93" s="166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4"/>
      <c r="H94" s="154"/>
      <c r="I94" s="5"/>
      <c r="J94" s="5"/>
      <c r="K94" s="7"/>
      <c r="L94" s="6"/>
      <c r="M94" s="4"/>
      <c r="N94" s="4"/>
      <c r="O94" s="153"/>
      <c r="P94" s="4"/>
      <c r="Q94" s="23"/>
      <c r="R94" s="31"/>
      <c r="S94" s="31"/>
      <c r="T94" s="13"/>
      <c r="U94" s="166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4"/>
      <c r="H95" s="154"/>
      <c r="I95" s="5"/>
      <c r="J95" s="5"/>
      <c r="K95" s="7"/>
      <c r="L95" s="6"/>
      <c r="M95" s="4"/>
      <c r="N95" s="4"/>
      <c r="O95" s="153"/>
      <c r="P95" s="4"/>
      <c r="Q95" s="23"/>
      <c r="R95" s="31"/>
      <c r="S95" s="31"/>
      <c r="T95" s="13"/>
      <c r="U95" s="166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4"/>
      <c r="H96" s="154"/>
      <c r="I96" s="5"/>
      <c r="J96" s="5"/>
      <c r="K96" s="7"/>
      <c r="L96" s="6"/>
      <c r="M96" s="4"/>
      <c r="N96" s="4"/>
      <c r="O96" s="153"/>
      <c r="P96" s="4"/>
      <c r="Q96" s="23"/>
      <c r="R96" s="31"/>
      <c r="S96" s="31"/>
      <c r="T96" s="13"/>
      <c r="U96" s="166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4"/>
      <c r="H97" s="154"/>
      <c r="I97" s="5"/>
      <c r="J97" s="5"/>
      <c r="K97" s="7"/>
      <c r="L97" s="6"/>
      <c r="M97" s="4"/>
      <c r="N97" s="4"/>
      <c r="O97" s="153"/>
      <c r="P97" s="4"/>
      <c r="Q97" s="23"/>
      <c r="R97" s="31"/>
      <c r="S97" s="31"/>
      <c r="T97" s="13"/>
      <c r="U97" s="166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4"/>
      <c r="H98" s="154"/>
      <c r="I98" s="5"/>
      <c r="J98" s="5"/>
      <c r="K98" s="7"/>
      <c r="L98" s="6"/>
      <c r="M98" s="4"/>
      <c r="N98" s="4"/>
      <c r="O98" s="153"/>
      <c r="P98" s="4"/>
      <c r="Q98" s="23"/>
      <c r="R98" s="31"/>
      <c r="S98" s="31"/>
      <c r="T98" s="13"/>
      <c r="U98" s="166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4"/>
      <c r="H99" s="154"/>
      <c r="I99" s="5"/>
      <c r="J99" s="5"/>
      <c r="K99" s="7"/>
      <c r="L99" s="6"/>
      <c r="M99" s="4"/>
      <c r="N99" s="4"/>
      <c r="O99" s="153"/>
      <c r="P99" s="4"/>
      <c r="Q99" s="23"/>
      <c r="R99" s="31"/>
      <c r="S99" s="31"/>
      <c r="T99" s="13"/>
      <c r="U99" s="166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4"/>
      <c r="H100" s="154"/>
      <c r="I100" s="5"/>
      <c r="J100" s="5"/>
      <c r="K100" s="7"/>
      <c r="L100" s="6"/>
      <c r="M100" s="4"/>
      <c r="N100" s="4"/>
      <c r="O100" s="153"/>
      <c r="P100" s="4"/>
      <c r="Q100" s="23"/>
      <c r="R100" s="31"/>
      <c r="S100" s="31"/>
      <c r="T100" s="13"/>
      <c r="U100" s="166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4"/>
      <c r="H101" s="154"/>
      <c r="I101" s="5"/>
      <c r="J101" s="5"/>
      <c r="K101" s="7"/>
      <c r="L101" s="6"/>
      <c r="M101" s="4"/>
      <c r="N101" s="4"/>
      <c r="O101" s="153"/>
      <c r="P101" s="4"/>
      <c r="Q101" s="23"/>
      <c r="R101" s="31"/>
      <c r="S101" s="31"/>
      <c r="T101" s="13"/>
      <c r="U101" s="166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4"/>
      <c r="H102" s="154"/>
      <c r="I102" s="5"/>
      <c r="J102" s="5"/>
      <c r="K102" s="7"/>
      <c r="L102" s="6"/>
      <c r="M102" s="4"/>
      <c r="N102" s="4"/>
      <c r="O102" s="153"/>
      <c r="P102" s="4"/>
      <c r="Q102" s="23"/>
      <c r="R102" s="31"/>
      <c r="S102" s="31"/>
      <c r="T102" s="13"/>
      <c r="U102" s="166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4"/>
      <c r="H103" s="154"/>
      <c r="I103" s="5"/>
      <c r="J103" s="5"/>
      <c r="K103" s="7"/>
      <c r="L103" s="6"/>
      <c r="M103" s="4"/>
      <c r="N103" s="4"/>
      <c r="O103" s="153"/>
      <c r="P103" s="4"/>
      <c r="Q103" s="23"/>
      <c r="R103" s="31"/>
      <c r="S103" s="31"/>
      <c r="T103" s="13"/>
      <c r="U103" s="166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4"/>
      <c r="H104" s="154"/>
      <c r="I104" s="5"/>
      <c r="J104" s="5"/>
      <c r="K104" s="7"/>
      <c r="L104" s="6"/>
      <c r="M104" s="4"/>
      <c r="N104" s="4"/>
      <c r="O104" s="153"/>
      <c r="P104" s="4"/>
      <c r="Q104" s="23"/>
      <c r="R104" s="31"/>
      <c r="S104" s="31"/>
      <c r="T104" s="13"/>
      <c r="U104" s="166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4"/>
      <c r="H105" s="154"/>
      <c r="I105" s="5"/>
      <c r="J105" s="5"/>
      <c r="K105" s="7"/>
      <c r="L105" s="6"/>
      <c r="M105" s="4"/>
      <c r="N105" s="4"/>
      <c r="O105" s="153"/>
      <c r="P105" s="4"/>
      <c r="Q105" s="23"/>
      <c r="R105" s="31"/>
      <c r="S105" s="31"/>
      <c r="T105" s="13"/>
      <c r="U105" s="166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4"/>
      <c r="H106" s="154"/>
      <c r="I106" s="5"/>
      <c r="J106" s="5"/>
      <c r="K106" s="7"/>
      <c r="L106" s="6"/>
      <c r="M106" s="4"/>
      <c r="N106" s="4"/>
      <c r="O106" s="153"/>
      <c r="P106" s="4"/>
      <c r="Q106" s="23"/>
      <c r="R106" s="31"/>
      <c r="S106" s="31"/>
      <c r="T106" s="13"/>
      <c r="U106" s="166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4"/>
      <c r="H107" s="154"/>
      <c r="I107" s="5"/>
      <c r="J107" s="5"/>
      <c r="K107" s="7"/>
      <c r="L107" s="6"/>
      <c r="M107" s="4"/>
      <c r="N107" s="4"/>
      <c r="O107" s="153"/>
      <c r="P107" s="4"/>
      <c r="Q107" s="23"/>
      <c r="R107" s="31"/>
      <c r="S107" s="31"/>
      <c r="T107" s="13"/>
      <c r="U107" s="166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4"/>
      <c r="H108" s="154"/>
      <c r="I108" s="5"/>
      <c r="J108" s="5"/>
      <c r="K108" s="7"/>
      <c r="L108" s="6"/>
      <c r="M108" s="4"/>
      <c r="N108" s="4"/>
      <c r="O108" s="153"/>
      <c r="P108" s="4"/>
      <c r="Q108" s="23"/>
      <c r="R108" s="31"/>
      <c r="S108" s="31"/>
      <c r="T108" s="13"/>
      <c r="U108" s="166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fitToHeight="1" fitToWidth="1" horizontalDpi="600" verticalDpi="600" orientation="landscape" paperSize="8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2" sqref="D32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9" t="s">
        <v>308</v>
      </c>
      <c r="B1"/>
      <c r="C1" t="s">
        <v>310</v>
      </c>
      <c r="D1" t="s">
        <v>309</v>
      </c>
      <c r="E1" t="s">
        <v>309</v>
      </c>
      <c r="F1"/>
      <c r="G1" t="s">
        <v>309</v>
      </c>
      <c r="H1" t="s">
        <v>309</v>
      </c>
      <c r="I1"/>
      <c r="J1" t="s">
        <v>316</v>
      </c>
      <c r="K1" t="s">
        <v>330</v>
      </c>
      <c r="L1" t="s">
        <v>330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9" t="s">
        <v>140</v>
      </c>
      <c r="E2" s="148" t="s">
        <v>148</v>
      </c>
      <c r="F2"/>
      <c r="G2" s="189" t="s">
        <v>140</v>
      </c>
      <c r="H2" s="148" t="s">
        <v>148</v>
      </c>
      <c r="I2" t="s">
        <v>146</v>
      </c>
      <c r="J2"/>
      <c r="K2" s="189" t="s">
        <v>140</v>
      </c>
      <c r="L2" s="148" t="s">
        <v>148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317</v>
      </c>
      <c r="E3"/>
      <c r="F3"/>
      <c r="G3" t="s">
        <v>318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307</v>
      </c>
      <c r="C4"/>
      <c r="D4" s="191"/>
      <c r="E4" s="191"/>
      <c r="F4" s="151" t="s">
        <v>98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91"/>
      <c r="E5" s="19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91"/>
      <c r="E6" s="19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91"/>
      <c r="E7" s="19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91"/>
      <c r="E8" s="19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91"/>
      <c r="E9" s="19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91"/>
      <c r="E10" s="19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91"/>
      <c r="E11" s="19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91">
        <v>2200</v>
      </c>
      <c r="E12" s="191">
        <v>0</v>
      </c>
      <c r="F12"/>
      <c r="G12">
        <v>2200</v>
      </c>
      <c r="H12">
        <v>0</v>
      </c>
      <c r="I1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90" t="s">
        <v>322</v>
      </c>
      <c r="D22" s="147">
        <f>SUM(D12:D21)</f>
        <v>12196</v>
      </c>
      <c r="E22" s="147">
        <f>SUM(E12:E21)</f>
        <v>5473</v>
      </c>
      <c r="F22"/>
      <c r="G22" s="151">
        <f>SUM(G12:G21)</f>
        <v>12162</v>
      </c>
      <c r="H22" s="151">
        <f>SUM(H12:H21)</f>
        <v>5723</v>
      </c>
      <c r="I22" s="151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64" t="s">
        <v>313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320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315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64" t="s">
        <v>313</v>
      </c>
      <c r="D26" s="164"/>
      <c r="E26" s="164"/>
      <c r="F26" s="164"/>
      <c r="G26" s="164">
        <f>5537+8245</f>
        <v>13782</v>
      </c>
      <c r="H26" s="164">
        <f>2503+2720</f>
        <v>5223</v>
      </c>
      <c r="I26" s="186" t="s">
        <v>319</v>
      </c>
      <c r="J26" s="83"/>
      <c r="K26" s="189">
        <f>G26/4</f>
        <v>3445.5</v>
      </c>
      <c r="L26" s="189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9" customWidth="1"/>
    <col min="2" max="3" width="10.00390625" style="0" customWidth="1"/>
    <col min="4" max="4" width="10.00390625" style="151" customWidth="1"/>
    <col min="5" max="5" width="5.28125" style="148" customWidth="1"/>
    <col min="6" max="6" width="5.140625" style="148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1" customWidth="1"/>
    <col min="11" max="11" width="11.7109375" style="0" customWidth="1"/>
    <col min="12" max="13" width="9.140625" style="148" customWidth="1"/>
    <col min="18" max="18" width="9.140625" style="149" customWidth="1"/>
    <col min="20" max="20" width="9.140625" style="150" customWidth="1"/>
  </cols>
  <sheetData>
    <row r="1" spans="2:18" ht="12.75">
      <c r="B1" t="s">
        <v>196</v>
      </c>
      <c r="C1" t="s">
        <v>197</v>
      </c>
      <c r="D1" s="151" t="s">
        <v>198</v>
      </c>
      <c r="E1" s="148" t="s">
        <v>199</v>
      </c>
      <c r="F1" s="148" t="s">
        <v>200</v>
      </c>
      <c r="G1" t="s">
        <v>201</v>
      </c>
      <c r="H1" t="s">
        <v>202</v>
      </c>
      <c r="I1" t="s">
        <v>196</v>
      </c>
      <c r="J1" s="151" t="s">
        <v>203</v>
      </c>
      <c r="K1" t="s">
        <v>211</v>
      </c>
      <c r="L1" s="148" t="s">
        <v>199</v>
      </c>
      <c r="M1" s="148" t="s">
        <v>200</v>
      </c>
      <c r="N1" t="s">
        <v>201</v>
      </c>
      <c r="O1" t="s">
        <v>216</v>
      </c>
      <c r="P1" t="s">
        <v>196</v>
      </c>
      <c r="Q1" t="s">
        <v>197</v>
      </c>
      <c r="R1" s="149" t="s">
        <v>198</v>
      </c>
    </row>
    <row r="2" spans="1:17" ht="12.75">
      <c r="A2" s="149" t="s">
        <v>223</v>
      </c>
      <c r="B2" s="147" t="s">
        <v>204</v>
      </c>
      <c r="C2" s="147"/>
      <c r="E2" s="147"/>
      <c r="F2" s="147"/>
      <c r="G2" s="147"/>
      <c r="H2" s="147"/>
      <c r="I2" s="147"/>
      <c r="K2" s="147"/>
      <c r="N2" s="147"/>
      <c r="O2" s="147"/>
      <c r="P2" s="147"/>
      <c r="Q2" s="147"/>
    </row>
    <row r="3" spans="1:17" ht="12.75">
      <c r="A3" s="149" t="s">
        <v>224</v>
      </c>
      <c r="B3" s="147"/>
      <c r="C3" s="147" t="s">
        <v>205</v>
      </c>
      <c r="E3" s="147"/>
      <c r="F3" s="147"/>
      <c r="G3" s="147"/>
      <c r="H3" s="147"/>
      <c r="I3" s="147"/>
      <c r="K3" s="147"/>
      <c r="N3" s="147"/>
      <c r="O3" s="147"/>
      <c r="P3" s="147"/>
      <c r="Q3" s="147"/>
    </row>
    <row r="4" spans="1:17" ht="12.75">
      <c r="A4" s="150" t="s">
        <v>225</v>
      </c>
      <c r="B4" s="147"/>
      <c r="C4" s="147"/>
      <c r="D4" s="151" t="s">
        <v>206</v>
      </c>
      <c r="E4" s="147"/>
      <c r="F4" s="147"/>
      <c r="G4" s="147"/>
      <c r="H4" s="147"/>
      <c r="I4" s="147"/>
      <c r="K4" s="147"/>
      <c r="N4" s="147"/>
      <c r="O4" s="147"/>
      <c r="P4" s="147"/>
      <c r="Q4" s="147"/>
    </row>
    <row r="5" spans="2:17" ht="12.75">
      <c r="B5" s="147"/>
      <c r="C5" s="147"/>
      <c r="E5" s="147"/>
      <c r="F5" s="147"/>
      <c r="G5" s="147" t="s">
        <v>208</v>
      </c>
      <c r="H5" s="147"/>
      <c r="I5" s="147"/>
      <c r="K5" s="147"/>
      <c r="N5" s="147"/>
      <c r="O5" s="147"/>
      <c r="P5" s="147"/>
      <c r="Q5" s="147"/>
    </row>
    <row r="6" spans="2:17" ht="12.75">
      <c r="B6" s="147"/>
      <c r="C6" s="147"/>
      <c r="E6" s="147"/>
      <c r="F6" s="147"/>
      <c r="G6" s="147"/>
      <c r="H6" s="147" t="s">
        <v>207</v>
      </c>
      <c r="I6" s="147"/>
      <c r="K6" s="147"/>
      <c r="N6" s="147"/>
      <c r="O6" s="147"/>
      <c r="P6" s="147"/>
      <c r="Q6" s="147"/>
    </row>
    <row r="7" spans="2:18" ht="12.75">
      <c r="B7" s="147" t="s">
        <v>227</v>
      </c>
      <c r="C7" s="147" t="s">
        <v>227</v>
      </c>
      <c r="D7" s="151" t="s">
        <v>227</v>
      </c>
      <c r="E7" s="147"/>
      <c r="F7" s="147"/>
      <c r="G7" s="147" t="s">
        <v>227</v>
      </c>
      <c r="H7" s="147" t="s">
        <v>226</v>
      </c>
      <c r="I7" s="147" t="s">
        <v>209</v>
      </c>
      <c r="K7" s="147" t="s">
        <v>235</v>
      </c>
      <c r="N7" s="147" t="s">
        <v>212</v>
      </c>
      <c r="O7" s="147"/>
      <c r="P7" s="147"/>
      <c r="Q7" s="147"/>
      <c r="R7" s="149" t="s">
        <v>217</v>
      </c>
    </row>
    <row r="8" spans="2:17" ht="12.75">
      <c r="B8" s="147"/>
      <c r="C8" s="147"/>
      <c r="E8" s="147"/>
      <c r="F8" s="147"/>
      <c r="G8" s="147"/>
      <c r="H8" s="150" t="s">
        <v>228</v>
      </c>
      <c r="I8" s="147"/>
      <c r="K8" s="147" t="s">
        <v>210</v>
      </c>
      <c r="N8" s="147" t="s">
        <v>213</v>
      </c>
      <c r="O8" s="147"/>
      <c r="P8" s="147"/>
      <c r="Q8" s="147"/>
    </row>
    <row r="9" spans="2:17" ht="12.75">
      <c r="B9" s="147"/>
      <c r="C9" s="147"/>
      <c r="E9" s="147"/>
      <c r="F9" s="147"/>
      <c r="G9" s="147"/>
      <c r="H9" s="147"/>
      <c r="I9" s="147"/>
      <c r="K9" s="147"/>
      <c r="N9" s="147" t="s">
        <v>214</v>
      </c>
      <c r="O9" s="147"/>
      <c r="P9" s="147"/>
      <c r="Q9" s="147"/>
    </row>
    <row r="10" spans="2:17" ht="12.75">
      <c r="B10" s="147"/>
      <c r="C10" s="147"/>
      <c r="E10" s="147"/>
      <c r="F10" s="147"/>
      <c r="G10" s="147"/>
      <c r="H10" s="147"/>
      <c r="I10" s="147"/>
      <c r="K10" s="147"/>
      <c r="N10" s="147" t="s">
        <v>215</v>
      </c>
      <c r="O10" s="147"/>
      <c r="P10" s="147"/>
      <c r="Q10" s="147"/>
    </row>
    <row r="11" spans="2:18" ht="12.75">
      <c r="B11">
        <v>1</v>
      </c>
      <c r="C11">
        <v>2</v>
      </c>
      <c r="D11" s="151">
        <v>3</v>
      </c>
      <c r="E11" s="148">
        <v>4</v>
      </c>
      <c r="F11" s="148">
        <v>5</v>
      </c>
      <c r="G11">
        <v>6</v>
      </c>
      <c r="H11">
        <v>7</v>
      </c>
      <c r="I11">
        <v>8</v>
      </c>
      <c r="J11" s="151">
        <v>9</v>
      </c>
      <c r="K11">
        <v>10</v>
      </c>
      <c r="L11" s="148">
        <v>11</v>
      </c>
      <c r="M11" s="148">
        <v>12</v>
      </c>
      <c r="N11">
        <v>13</v>
      </c>
      <c r="O11">
        <v>14</v>
      </c>
      <c r="P11">
        <v>15</v>
      </c>
      <c r="Q11">
        <v>16</v>
      </c>
      <c r="R11" s="149">
        <v>17</v>
      </c>
    </row>
    <row r="12" ht="12.75">
      <c r="S12" t="s">
        <v>232</v>
      </c>
    </row>
    <row r="13" spans="2:20" ht="12.75">
      <c r="B13" t="s">
        <v>218</v>
      </c>
      <c r="T13" s="150" t="s">
        <v>233</v>
      </c>
    </row>
    <row r="14" spans="2:3" ht="12.75">
      <c r="B14" t="s">
        <v>219</v>
      </c>
      <c r="C14" t="s">
        <v>220</v>
      </c>
    </row>
    <row r="15" spans="4:20" ht="12.75">
      <c r="D15" s="151" t="s">
        <v>221</v>
      </c>
      <c r="T15" s="150" t="s">
        <v>234</v>
      </c>
    </row>
    <row r="16" ht="12.75">
      <c r="G16" t="s">
        <v>222</v>
      </c>
    </row>
    <row r="17" ht="12.75">
      <c r="H17" t="s">
        <v>222</v>
      </c>
    </row>
    <row r="18" ht="12.75">
      <c r="I18" t="s">
        <v>222</v>
      </c>
    </row>
    <row r="20" spans="8:15" ht="12.75">
      <c r="H20" t="s">
        <v>229</v>
      </c>
      <c r="O20" t="s">
        <v>229</v>
      </c>
    </row>
    <row r="21" spans="8:15" ht="12.75">
      <c r="H21" t="s">
        <v>231</v>
      </c>
      <c r="O21" t="s">
        <v>230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37" sqref="G3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9" t="s">
        <v>321</v>
      </c>
      <c r="B1" s="189"/>
    </row>
    <row r="3" spans="1:7" ht="12.75">
      <c r="A3" t="s">
        <v>307</v>
      </c>
      <c r="B3" s="99" t="s">
        <v>323</v>
      </c>
      <c r="C3" t="s">
        <v>309</v>
      </c>
      <c r="D3" t="s">
        <v>325</v>
      </c>
      <c r="E3" t="s">
        <v>324</v>
      </c>
      <c r="G3" t="s">
        <v>330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93" t="s">
        <v>24</v>
      </c>
    </row>
    <row r="17" spans="1:4" ht="12.75">
      <c r="A17">
        <v>15</v>
      </c>
      <c r="C17">
        <v>0</v>
      </c>
      <c r="D17" s="193"/>
    </row>
    <row r="18" spans="1:5" ht="12.75">
      <c r="A18">
        <v>16</v>
      </c>
      <c r="B18">
        <v>18.04</v>
      </c>
      <c r="C18">
        <v>576</v>
      </c>
      <c r="D18" s="193" t="s">
        <v>24</v>
      </c>
      <c r="E18">
        <v>19.04</v>
      </c>
    </row>
    <row r="19" spans="1:4" ht="12.75">
      <c r="A19">
        <v>17</v>
      </c>
      <c r="C19">
        <v>0</v>
      </c>
      <c r="D19" s="193"/>
    </row>
    <row r="20" spans="1:4" ht="12.75">
      <c r="A20">
        <v>18</v>
      </c>
      <c r="C20">
        <v>0</v>
      </c>
      <c r="D20" s="193"/>
    </row>
    <row r="21" spans="1:5" ht="12.75">
      <c r="A21">
        <v>19</v>
      </c>
      <c r="B21">
        <v>9.05</v>
      </c>
      <c r="C21">
        <v>688</v>
      </c>
      <c r="D21" s="193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93" t="s">
        <v>24</v>
      </c>
    </row>
    <row r="23" spans="1:6" ht="12.75">
      <c r="A23">
        <v>21</v>
      </c>
      <c r="B23" s="15">
        <v>23.05</v>
      </c>
      <c r="C23" s="10">
        <v>898</v>
      </c>
      <c r="D23" s="193" t="s">
        <v>24</v>
      </c>
      <c r="E23">
        <v>23.05</v>
      </c>
      <c r="F23" s="10" t="s">
        <v>306</v>
      </c>
    </row>
    <row r="24" spans="1:6" ht="12.75">
      <c r="A24">
        <v>21</v>
      </c>
      <c r="B24">
        <v>26.05</v>
      </c>
      <c r="C24" s="10">
        <v>480</v>
      </c>
      <c r="D24" s="193" t="s">
        <v>24</v>
      </c>
      <c r="E24">
        <v>3.06</v>
      </c>
      <c r="F24" s="10" t="s">
        <v>306</v>
      </c>
    </row>
    <row r="25" spans="1:6" ht="12.75">
      <c r="A25">
        <v>23</v>
      </c>
      <c r="B25">
        <v>7.06</v>
      </c>
      <c r="C25" s="15">
        <v>700</v>
      </c>
      <c r="D25" s="193" t="s">
        <v>24</v>
      </c>
      <c r="E25">
        <v>8.06</v>
      </c>
      <c r="F25" s="201" t="s">
        <v>346</v>
      </c>
    </row>
    <row r="26" spans="1:7" ht="12.75">
      <c r="A26">
        <v>23</v>
      </c>
      <c r="B26" s="109" t="s">
        <v>355</v>
      </c>
      <c r="C26">
        <f>SUM(C12:C25)</f>
        <v>6037</v>
      </c>
      <c r="D26" s="193" t="s">
        <v>24</v>
      </c>
      <c r="G26">
        <f>C26/2</f>
        <v>3018.5</v>
      </c>
    </row>
    <row r="28" spans="1:7" ht="12.75">
      <c r="A28">
        <v>23</v>
      </c>
      <c r="B28" s="164" t="s">
        <v>313</v>
      </c>
      <c r="C28">
        <v>5326</v>
      </c>
      <c r="D28" s="193" t="s">
        <v>24</v>
      </c>
      <c r="E28" s="186" t="s">
        <v>312</v>
      </c>
      <c r="G28">
        <f>C28/2</f>
        <v>2663</v>
      </c>
    </row>
    <row r="30" spans="2:7" ht="12.75">
      <c r="B30" s="164" t="s">
        <v>327</v>
      </c>
      <c r="C30" s="164">
        <v>2019</v>
      </c>
      <c r="D30" s="193" t="s">
        <v>315</v>
      </c>
      <c r="G30">
        <f>C30/2</f>
        <v>1009.5</v>
      </c>
    </row>
    <row r="31" spans="1:7" ht="12.75">
      <c r="A31">
        <v>23</v>
      </c>
      <c r="B31" s="164" t="s">
        <v>313</v>
      </c>
      <c r="C31">
        <f>2019+1903+898+480+700</f>
        <v>6000</v>
      </c>
      <c r="D31" s="193" t="s">
        <v>315</v>
      </c>
      <c r="E31" s="10" t="s">
        <v>347</v>
      </c>
      <c r="G31" s="189">
        <f>C31/2</f>
        <v>3000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70"/>
  <sheetViews>
    <sheetView workbookViewId="0" topLeftCell="A7">
      <selection activeCell="J64" sqref="J64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9" t="s">
        <v>326</v>
      </c>
      <c r="I4" t="s">
        <v>330</v>
      </c>
    </row>
    <row r="11" spans="2:8" ht="12.75">
      <c r="B11" s="43" t="s">
        <v>142</v>
      </c>
      <c r="C11" s="99" t="s">
        <v>143</v>
      </c>
      <c r="D11" s="41" t="s">
        <v>144</v>
      </c>
      <c r="E11" s="41" t="s">
        <v>147</v>
      </c>
      <c r="F11" s="41" t="s">
        <v>145</v>
      </c>
      <c r="G11" s="41" t="s">
        <v>146</v>
      </c>
      <c r="H11" s="192" t="s">
        <v>307</v>
      </c>
    </row>
    <row r="12" spans="1:7" ht="12.75">
      <c r="A12" t="s">
        <v>236</v>
      </c>
      <c r="B12" s="182" t="s">
        <v>140</v>
      </c>
      <c r="C12" s="182"/>
      <c r="D12" s="182"/>
      <c r="E12" s="182"/>
      <c r="F12" s="182"/>
      <c r="G12" s="182"/>
    </row>
    <row r="13" spans="1:7" ht="12.75">
      <c r="A13">
        <f>SUM(D15:D19,D50,D61:D62)</f>
        <v>47444</v>
      </c>
      <c r="B13" s="41"/>
      <c r="C13" s="41" t="s">
        <v>152</v>
      </c>
      <c r="D13" s="41">
        <v>9300</v>
      </c>
      <c r="E13" s="41"/>
      <c r="F13" s="41">
        <v>9170</v>
      </c>
      <c r="G13" s="41"/>
    </row>
    <row r="14" spans="1:7" ht="12.75">
      <c r="A14" t="s">
        <v>237</v>
      </c>
      <c r="B14" s="41"/>
      <c r="C14" s="41"/>
      <c r="D14" s="41"/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150</v>
      </c>
      <c r="D15" s="41">
        <v>14600</v>
      </c>
      <c r="E15" s="41" t="s">
        <v>98</v>
      </c>
      <c r="F15" s="83">
        <f>2340+6000+114+7370</f>
        <v>15824</v>
      </c>
      <c r="G15" s="41" t="s">
        <v>113</v>
      </c>
      <c r="H15">
        <v>1</v>
      </c>
    </row>
    <row r="16" spans="2:8" ht="12.75">
      <c r="B16" s="41"/>
      <c r="C16" s="41"/>
      <c r="D16" s="41">
        <v>0</v>
      </c>
      <c r="E16" s="41"/>
      <c r="F16" s="83"/>
      <c r="G16" s="41"/>
      <c r="H16">
        <v>2</v>
      </c>
    </row>
    <row r="17" spans="2:8" ht="12.75">
      <c r="B17" s="41"/>
      <c r="C17" s="41"/>
      <c r="D17" s="41">
        <v>0</v>
      </c>
      <c r="E17" s="41"/>
      <c r="F17" s="83"/>
      <c r="G17" s="41"/>
      <c r="H17">
        <v>3</v>
      </c>
    </row>
    <row r="18" spans="2:8" ht="12.75">
      <c r="B18" s="41" t="s">
        <v>156</v>
      </c>
      <c r="C18" s="41" t="s">
        <v>141</v>
      </c>
      <c r="D18" s="41">
        <v>10000</v>
      </c>
      <c r="E18" s="41" t="s">
        <v>98</v>
      </c>
      <c r="F18" s="83">
        <v>10000</v>
      </c>
      <c r="G18" s="41" t="s">
        <v>113</v>
      </c>
      <c r="H18">
        <v>4</v>
      </c>
    </row>
    <row r="19" spans="2:8" ht="12.75">
      <c r="B19" s="41"/>
      <c r="C19" s="41" t="s">
        <v>153</v>
      </c>
      <c r="D19" s="41">
        <v>10740</v>
      </c>
      <c r="E19" s="41" t="s">
        <v>98</v>
      </c>
      <c r="F19" s="83"/>
      <c r="G19" s="41"/>
      <c r="H19">
        <v>5</v>
      </c>
    </row>
    <row r="20" spans="2:10" ht="12.75">
      <c r="B20" s="41" t="s">
        <v>154</v>
      </c>
      <c r="C20" s="41" t="s">
        <v>155</v>
      </c>
      <c r="D20" s="41">
        <v>11170</v>
      </c>
      <c r="E20" s="41" t="s">
        <v>98</v>
      </c>
      <c r="F20" s="83"/>
      <c r="G20" s="41"/>
      <c r="H20">
        <v>5</v>
      </c>
      <c r="J20" t="s">
        <v>172</v>
      </c>
    </row>
    <row r="21" spans="2:8" ht="12.75">
      <c r="B21" s="41"/>
      <c r="C21" s="41"/>
      <c r="D21" s="41">
        <v>0</v>
      </c>
      <c r="E21" s="41"/>
      <c r="F21" s="83"/>
      <c r="G21" s="41"/>
      <c r="H21">
        <v>6</v>
      </c>
    </row>
    <row r="22" spans="2:10" ht="12.75">
      <c r="B22" s="41" t="s">
        <v>171</v>
      </c>
      <c r="C22" s="41" t="s">
        <v>170</v>
      </c>
      <c r="D22" s="41">
        <v>12730</v>
      </c>
      <c r="E22" s="41" t="s">
        <v>98</v>
      </c>
      <c r="F22" s="83"/>
      <c r="G22" s="41"/>
      <c r="H22">
        <v>7</v>
      </c>
      <c r="J22" t="s">
        <v>173</v>
      </c>
    </row>
    <row r="23" spans="2:8" ht="12.75">
      <c r="B23" s="41"/>
      <c r="C23" s="41"/>
      <c r="D23" s="41">
        <v>0</v>
      </c>
      <c r="E23" s="41"/>
      <c r="F23" s="83"/>
      <c r="G23" s="41"/>
      <c r="H23">
        <v>8</v>
      </c>
    </row>
    <row r="24" spans="2:8" ht="12.75">
      <c r="B24" s="41" t="s">
        <v>174</v>
      </c>
      <c r="C24" s="41" t="s">
        <v>176</v>
      </c>
      <c r="D24" s="41">
        <v>15100</v>
      </c>
      <c r="E24" s="41" t="s">
        <v>98</v>
      </c>
      <c r="F24" s="83"/>
      <c r="G24" s="41"/>
      <c r="H24">
        <v>9</v>
      </c>
    </row>
    <row r="25" spans="1:8" ht="12.75">
      <c r="A25" t="s">
        <v>267</v>
      </c>
      <c r="B25" s="41" t="s">
        <v>175</v>
      </c>
      <c r="C25" s="41" t="s">
        <v>238</v>
      </c>
      <c r="D25" s="41">
        <v>13230</v>
      </c>
      <c r="E25" s="41" t="s">
        <v>98</v>
      </c>
      <c r="F25" s="83"/>
      <c r="G25" s="41"/>
      <c r="H25">
        <v>9</v>
      </c>
    </row>
    <row r="26" spans="2:8" ht="12.75">
      <c r="B26" s="41" t="s">
        <v>239</v>
      </c>
      <c r="C26" s="41" t="s">
        <v>240</v>
      </c>
      <c r="D26" s="41">
        <v>15330</v>
      </c>
      <c r="E26" s="41" t="s">
        <v>98</v>
      </c>
      <c r="F26" s="83"/>
      <c r="G26" s="41"/>
      <c r="H26">
        <v>10</v>
      </c>
    </row>
    <row r="27" spans="2:8" ht="12.75">
      <c r="B27" s="41" t="s">
        <v>263</v>
      </c>
      <c r="C27" s="41" t="s">
        <v>264</v>
      </c>
      <c r="D27" s="41">
        <v>18380</v>
      </c>
      <c r="E27" s="41" t="s">
        <v>98</v>
      </c>
      <c r="F27" s="83"/>
      <c r="G27" s="41"/>
      <c r="H27">
        <v>11</v>
      </c>
    </row>
    <row r="28" spans="2:8" ht="12.75">
      <c r="B28" s="41" t="s">
        <v>265</v>
      </c>
      <c r="C28" s="41" t="s">
        <v>279</v>
      </c>
      <c r="D28" s="41">
        <v>25000</v>
      </c>
      <c r="E28" s="41" t="s">
        <v>24</v>
      </c>
      <c r="F28" s="83"/>
      <c r="G28" s="41"/>
      <c r="H28">
        <v>12</v>
      </c>
    </row>
    <row r="29" spans="2:8" ht="12.75">
      <c r="B29" s="41" t="s">
        <v>278</v>
      </c>
      <c r="C29" s="41" t="s">
        <v>266</v>
      </c>
      <c r="D29" s="41">
        <v>25000</v>
      </c>
      <c r="E29" s="41" t="s">
        <v>24</v>
      </c>
      <c r="F29" s="83"/>
      <c r="G29" s="41"/>
      <c r="H29">
        <v>13</v>
      </c>
    </row>
    <row r="30" spans="1:8" ht="12.75">
      <c r="A30" t="s">
        <v>292</v>
      </c>
      <c r="B30" s="41" t="s">
        <v>280</v>
      </c>
      <c r="C30" s="41" t="s">
        <v>287</v>
      </c>
      <c r="D30" s="41">
        <v>25000</v>
      </c>
      <c r="E30" s="41" t="s">
        <v>24</v>
      </c>
      <c r="F30" s="83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3"/>
      <c r="G31" s="41"/>
      <c r="H31">
        <v>15</v>
      </c>
    </row>
    <row r="32" spans="2:8" ht="12.75">
      <c r="B32" s="41" t="s">
        <v>281</v>
      </c>
      <c r="C32" s="41" t="s">
        <v>288</v>
      </c>
      <c r="D32" s="41">
        <v>23075</v>
      </c>
      <c r="E32" s="41" t="s">
        <v>24</v>
      </c>
      <c r="F32" s="83"/>
      <c r="G32" s="41"/>
      <c r="H32">
        <v>16</v>
      </c>
    </row>
    <row r="33" spans="2:8" ht="12.75">
      <c r="B33" s="41" t="s">
        <v>285</v>
      </c>
      <c r="C33" s="41" t="s">
        <v>286</v>
      </c>
      <c r="D33" s="41">
        <v>21760</v>
      </c>
      <c r="E33" s="41" t="s">
        <v>24</v>
      </c>
      <c r="F33" s="83"/>
      <c r="G33" s="41"/>
      <c r="H33">
        <v>17</v>
      </c>
    </row>
    <row r="34" spans="1:8" ht="12.75">
      <c r="A34" t="s">
        <v>293</v>
      </c>
      <c r="B34" s="41" t="s">
        <v>290</v>
      </c>
      <c r="C34" s="41" t="s">
        <v>291</v>
      </c>
      <c r="D34" s="41">
        <v>25000</v>
      </c>
      <c r="E34" s="41" t="s">
        <v>24</v>
      </c>
      <c r="F34" s="83"/>
      <c r="G34" s="41"/>
      <c r="H34">
        <v>18</v>
      </c>
    </row>
    <row r="35" spans="2:8" ht="12.75">
      <c r="B35" s="41" t="s">
        <v>297</v>
      </c>
      <c r="C35" s="41" t="s">
        <v>298</v>
      </c>
      <c r="D35" s="41">
        <v>25000</v>
      </c>
      <c r="E35" s="41" t="s">
        <v>24</v>
      </c>
      <c r="F35" s="83"/>
      <c r="G35" s="41" t="s">
        <v>302</v>
      </c>
      <c r="H35">
        <v>19</v>
      </c>
    </row>
    <row r="36" spans="2:8" ht="12.75">
      <c r="B36" s="186" t="s">
        <v>299</v>
      </c>
      <c r="C36" s="41" t="s">
        <v>300</v>
      </c>
      <c r="D36" s="186">
        <v>25000</v>
      </c>
      <c r="E36" s="41" t="s">
        <v>24</v>
      </c>
      <c r="F36" s="186" t="s">
        <v>306</v>
      </c>
      <c r="G36" s="41" t="s">
        <v>301</v>
      </c>
      <c r="H36">
        <v>20</v>
      </c>
    </row>
    <row r="37" spans="2:8" ht="12.75">
      <c r="B37" s="186"/>
      <c r="C37" s="41"/>
      <c r="D37" s="186">
        <v>0</v>
      </c>
      <c r="E37" s="41"/>
      <c r="F37" s="186"/>
      <c r="G37" s="41"/>
      <c r="H37">
        <v>21</v>
      </c>
    </row>
    <row r="38" spans="2:8" ht="12.75">
      <c r="B38" s="186" t="s">
        <v>303</v>
      </c>
      <c r="C38" s="41" t="s">
        <v>304</v>
      </c>
      <c r="D38" s="186">
        <v>20160</v>
      </c>
      <c r="E38" s="41" t="s">
        <v>24</v>
      </c>
      <c r="F38" s="186" t="s">
        <v>306</v>
      </c>
      <c r="G38" s="41" t="s">
        <v>305</v>
      </c>
      <c r="H38">
        <v>22</v>
      </c>
    </row>
    <row r="39" spans="2:8" ht="12.75">
      <c r="B39" s="186" t="s">
        <v>356</v>
      </c>
      <c r="C39" s="41" t="s">
        <v>304</v>
      </c>
      <c r="D39" s="186">
        <v>12000</v>
      </c>
      <c r="E39" s="41" t="s">
        <v>24</v>
      </c>
      <c r="F39" s="186" t="s">
        <v>306</v>
      </c>
      <c r="G39" s="41" t="s">
        <v>305</v>
      </c>
      <c r="H39" s="15">
        <v>22</v>
      </c>
    </row>
    <row r="40" spans="2:8" ht="12.75">
      <c r="B40" s="83" t="s">
        <v>357</v>
      </c>
      <c r="C40" s="41" t="s">
        <v>358</v>
      </c>
      <c r="D40" s="191">
        <v>15250</v>
      </c>
      <c r="E40" s="41" t="s">
        <v>24</v>
      </c>
      <c r="F40" s="210" t="s">
        <v>346</v>
      </c>
      <c r="G40" s="41" t="s">
        <v>359</v>
      </c>
      <c r="H40">
        <v>23</v>
      </c>
    </row>
    <row r="41" spans="2:8" ht="12.75">
      <c r="B41" s="83" t="s">
        <v>360</v>
      </c>
      <c r="C41" s="41" t="s">
        <v>358</v>
      </c>
      <c r="D41" s="191">
        <v>9660</v>
      </c>
      <c r="E41" s="41" t="s">
        <v>24</v>
      </c>
      <c r="F41" s="210" t="s">
        <v>346</v>
      </c>
      <c r="G41" s="41" t="s">
        <v>359</v>
      </c>
      <c r="H41">
        <v>23</v>
      </c>
    </row>
    <row r="42" spans="2:9" ht="12.75">
      <c r="B42" s="109" t="s">
        <v>289</v>
      </c>
      <c r="C42" s="109"/>
      <c r="D42" s="109">
        <f>SUM(D13:D41)</f>
        <v>382485</v>
      </c>
      <c r="E42" s="41" t="s">
        <v>24</v>
      </c>
      <c r="F42" s="83"/>
      <c r="G42" s="41">
        <v>9.06</v>
      </c>
      <c r="H42">
        <v>23</v>
      </c>
      <c r="I42" s="217">
        <f>D42/183</f>
        <v>2090.0819672131147</v>
      </c>
    </row>
    <row r="43" spans="1:7" ht="12.75">
      <c r="A43" t="s">
        <v>311</v>
      </c>
      <c r="B43" s="188"/>
      <c r="C43" s="188"/>
      <c r="D43" s="188"/>
      <c r="E43" s="41"/>
      <c r="F43" s="83"/>
      <c r="G43" s="41"/>
    </row>
    <row r="44" spans="2:7" s="15" customFormat="1" ht="12.75">
      <c r="B44" s="188"/>
      <c r="C44" s="188"/>
      <c r="D44" s="188"/>
      <c r="E44" s="83"/>
      <c r="F44" s="83"/>
      <c r="G44" s="83"/>
    </row>
    <row r="45" spans="2:9" ht="12.75">
      <c r="B45" s="181" t="s">
        <v>313</v>
      </c>
      <c r="C45" s="181"/>
      <c r="D45" s="188">
        <v>347244</v>
      </c>
      <c r="E45" s="41" t="s">
        <v>24</v>
      </c>
      <c r="F45" s="186" t="s">
        <v>312</v>
      </c>
      <c r="G45" s="41"/>
      <c r="I45" s="199">
        <f>D45/183</f>
        <v>1897.5081967213114</v>
      </c>
    </row>
    <row r="46" spans="2:9" ht="12.75">
      <c r="B46" s="181" t="s">
        <v>313</v>
      </c>
      <c r="C46" s="181" t="s">
        <v>298</v>
      </c>
      <c r="D46" s="181">
        <v>169859</v>
      </c>
      <c r="E46" s="41" t="s">
        <v>315</v>
      </c>
      <c r="F46" s="83"/>
      <c r="G46" s="83"/>
      <c r="I46" s="199">
        <f>D46/183</f>
        <v>928.1912568306011</v>
      </c>
    </row>
    <row r="47" spans="2:9" ht="12.75">
      <c r="B47" s="181" t="s">
        <v>313</v>
      </c>
      <c r="C47" s="181"/>
      <c r="D47" s="211">
        <f>346854+9660+15250</f>
        <v>371764</v>
      </c>
      <c r="E47" s="41" t="s">
        <v>315</v>
      </c>
      <c r="F47" s="186" t="s">
        <v>347</v>
      </c>
      <c r="G47" s="83"/>
      <c r="I47" s="200">
        <f>D47/183</f>
        <v>2031.4972677595629</v>
      </c>
    </row>
    <row r="48" spans="2:7" s="15" customFormat="1" ht="12.75">
      <c r="B48" s="188"/>
      <c r="C48" s="188"/>
      <c r="D48" s="188"/>
      <c r="E48" s="83"/>
      <c r="F48" s="83"/>
      <c r="G48" s="83"/>
    </row>
    <row r="49" spans="2:7" ht="12.75">
      <c r="B49" s="182" t="s">
        <v>148</v>
      </c>
      <c r="C49" s="182"/>
      <c r="D49" s="182"/>
      <c r="E49" s="182"/>
      <c r="F49" s="182"/>
      <c r="G49" s="182"/>
    </row>
    <row r="50" spans="2:7" ht="12.75">
      <c r="B50" s="41"/>
      <c r="C50" s="41" t="s">
        <v>150</v>
      </c>
      <c r="D50" s="41">
        <v>948</v>
      </c>
      <c r="E50" s="41" t="s">
        <v>98</v>
      </c>
      <c r="F50" s="83">
        <v>941</v>
      </c>
      <c r="G50" s="41" t="s">
        <v>113</v>
      </c>
    </row>
    <row r="51" spans="2:7" ht="12.75">
      <c r="B51" s="41"/>
      <c r="C51" s="41"/>
      <c r="D51" s="41"/>
      <c r="E51" s="41"/>
      <c r="F51" s="41"/>
      <c r="G51" s="41"/>
    </row>
    <row r="52" spans="2:7" ht="12.75">
      <c r="B52" s="41"/>
      <c r="C52" s="41"/>
      <c r="D52" s="41"/>
      <c r="E52" s="41"/>
      <c r="F52" s="41"/>
      <c r="G52" s="41"/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182" t="s">
        <v>149</v>
      </c>
      <c r="C56" s="182"/>
      <c r="D56" s="182"/>
      <c r="E56" s="182"/>
      <c r="F56" s="182"/>
      <c r="G56" s="182"/>
    </row>
    <row r="57" spans="2:7" ht="12.75">
      <c r="B57" s="41"/>
      <c r="C57" s="41" t="s">
        <v>152</v>
      </c>
      <c r="D57" s="41">
        <v>300</v>
      </c>
      <c r="E57" s="41"/>
      <c r="F57" s="41">
        <v>305</v>
      </c>
      <c r="G57" s="41"/>
    </row>
    <row r="58" spans="2:7" ht="12.75">
      <c r="B58" s="41"/>
      <c r="C58" s="41"/>
      <c r="D58" s="41"/>
      <c r="E58" s="41"/>
      <c r="F58" s="41">
        <v>93</v>
      </c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 t="s">
        <v>151</v>
      </c>
      <c r="D61" s="41">
        <v>606</v>
      </c>
      <c r="E61" s="41" t="s">
        <v>98</v>
      </c>
      <c r="F61" s="83"/>
      <c r="G61" s="41"/>
    </row>
    <row r="62" spans="2:7" ht="12.75">
      <c r="B62" s="41" t="s">
        <v>156</v>
      </c>
      <c r="C62" s="41" t="s">
        <v>141</v>
      </c>
      <c r="D62" s="41">
        <v>10550</v>
      </c>
      <c r="E62" s="41" t="s">
        <v>98</v>
      </c>
      <c r="F62" s="83"/>
      <c r="G62" s="41"/>
    </row>
    <row r="63" spans="2:7" ht="12.75">
      <c r="B63" s="82" t="s">
        <v>314</v>
      </c>
      <c r="C63" s="82"/>
      <c r="D63" s="82">
        <v>10550</v>
      </c>
      <c r="E63" s="41"/>
      <c r="F63" s="41"/>
      <c r="G63" s="41"/>
    </row>
    <row r="64" spans="2:7" ht="12.75">
      <c r="B64" s="83"/>
      <c r="C64" s="83"/>
      <c r="D64" s="83"/>
      <c r="E64" s="41"/>
      <c r="F64" s="41"/>
      <c r="G64" s="41"/>
    </row>
    <row r="65" spans="2:9" ht="12.75">
      <c r="B65" s="181" t="s">
        <v>313</v>
      </c>
      <c r="C65" s="181"/>
      <c r="D65" s="181">
        <v>10625</v>
      </c>
      <c r="E65" s="41" t="s">
        <v>24</v>
      </c>
      <c r="F65" s="83"/>
      <c r="G65" s="41"/>
      <c r="I65" s="199">
        <f>D65/6</f>
        <v>1770.8333333333333</v>
      </c>
    </row>
    <row r="66" spans="2:9" ht="12.75">
      <c r="B66" s="181" t="s">
        <v>313</v>
      </c>
      <c r="C66" s="181"/>
      <c r="D66" s="181">
        <v>10604</v>
      </c>
      <c r="E66" s="41" t="s">
        <v>315</v>
      </c>
      <c r="F66" s="83"/>
      <c r="G66" s="41"/>
      <c r="I66" s="200">
        <f>D66/6</f>
        <v>1767.3333333333333</v>
      </c>
    </row>
    <row r="67" spans="2:7" ht="12.75">
      <c r="B67" s="41"/>
      <c r="C67" s="41"/>
      <c r="D67" s="41"/>
      <c r="E67" s="41"/>
      <c r="F67" s="41"/>
      <c r="G67" s="41"/>
    </row>
    <row r="68" spans="2:7" ht="12.75">
      <c r="B68" s="41"/>
      <c r="C68" s="41"/>
      <c r="D68" s="41"/>
      <c r="E68" s="41"/>
      <c r="F68" s="41"/>
      <c r="G68" s="41"/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2006-06-12T10:08:52Z</cp:lastPrinted>
  <dcterms:created xsi:type="dcterms:W3CDTF">2005-04-30T08:59:53Z</dcterms:created>
  <dcterms:modified xsi:type="dcterms:W3CDTF">2006-06-12T14:58:17Z</dcterms:modified>
  <cp:category/>
  <cp:version/>
  <cp:contentType/>
  <cp:contentStatus/>
</cp:coreProperties>
</file>