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'Tighteners'!$A$1:$AK$80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'!$A$1:$AI$60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P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P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P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5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5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5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5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D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A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A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AA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A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AH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O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O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O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O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3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3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A35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3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3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40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4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</commentList>
</comments>
</file>

<file path=xl/sharedStrings.xml><?xml version="1.0" encoding="utf-8"?>
<sst xmlns="http://schemas.openxmlformats.org/spreadsheetml/2006/main" count="678" uniqueCount="370">
  <si>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</si>
  <si>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</si>
  <si>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</si>
  <si>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</si>
  <si>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</si>
  <si>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</si>
  <si>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</si>
  <si>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</si>
  <si>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</si>
  <si>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</si>
  <si>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</si>
  <si>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</si>
  <si>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</si>
  <si>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</si>
  <si>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</si>
  <si>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</si>
  <si>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</si>
  <si>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</si>
  <si>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</si>
  <si>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</si>
  <si>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</si>
  <si>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</si>
  <si>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</si>
  <si>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</si>
  <si>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</si>
  <si>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</si>
  <si>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</si>
  <si>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</si>
  <si>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</si>
  <si>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</si>
  <si>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</si>
  <si>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</si>
  <si>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</si>
  <si>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</si>
  <si>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</si>
  <si>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</si>
  <si>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</si>
  <si>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</si>
  <si>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</si>
  <si>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</si>
  <si>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</si>
  <si>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</si>
  <si>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</si>
  <si>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</si>
  <si>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</si>
  <si>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</si>
  <si>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</si>
  <si>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</si>
  <si>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</si>
  <si>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</si>
  <si>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</si>
  <si>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</si>
  <si>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</si>
  <si>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</si>
  <si>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</si>
  <si>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</si>
  <si>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</si>
  <si>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</si>
  <si>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</si>
  <si>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</si>
  <si>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</si>
  <si>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</si>
  <si>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</si>
  <si>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</si>
  <si>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</si>
  <si>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</si>
  <si>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</si>
  <si>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</si>
  <si>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</si>
  <si>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</si>
  <si>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</si>
  <si>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</si>
  <si>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</si>
  <si>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</si>
  <si>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</si>
  <si>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</si>
  <si>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</si>
  <si>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</si>
  <si>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</si>
  <si>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</si>
  <si>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</si>
  <si>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</si>
  <si>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</si>
  <si>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</si>
  <si>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</si>
  <si>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</si>
  <si>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</si>
  <si>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</si>
  <si>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</si>
  <si>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</si>
  <si>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</si>
  <si>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</si>
  <si>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</si>
  <si>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</si>
  <si>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</si>
  <si>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</si>
  <si>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</si>
  <si>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</si>
  <si>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</si>
  <si>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</si>
  <si>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</si>
  <si>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</si>
  <si>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</si>
  <si>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</si>
  <si>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</si>
  <si>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</si>
  <si>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</si>
  <si>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</si>
  <si>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</si>
  <si>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</si>
  <si>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</si>
  <si>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</si>
  <si>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</si>
  <si>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</si>
  <si>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</si>
  <si>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</si>
  <si>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</si>
  <si>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</si>
  <si>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</si>
  <si>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</si>
  <si>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</si>
  <si>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</si>
  <si>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</si>
  <si>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</si>
  <si>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</si>
  <si>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</si>
  <si>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</si>
  <si>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</si>
  <si>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</si>
  <si>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</si>
  <si>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</si>
  <si>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</si>
  <si>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</si>
  <si>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</si>
  <si>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</si>
  <si>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</si>
  <si>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</si>
  <si>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</si>
  <si>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</si>
  <si>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</si>
  <si>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</si>
  <si>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</si>
  <si>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</si>
  <si>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</si>
  <si>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</si>
  <si>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</si>
  <si>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</si>
  <si>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</si>
  <si>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</si>
  <si>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</si>
  <si>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</si>
  <si>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</si>
  <si>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</si>
  <si>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</si>
  <si>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</si>
  <si>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</si>
  <si>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</si>
  <si>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</si>
  <si>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</si>
  <si>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</si>
  <si>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</si>
  <si>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</si>
  <si>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</si>
  <si>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</si>
  <si>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</si>
  <si>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</si>
  <si>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</si>
  <si>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</si>
  <si>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</si>
  <si>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</si>
  <si>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</si>
  <si>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</si>
  <si>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</si>
  <si>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</si>
  <si>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</si>
  <si>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</si>
  <si>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</si>
  <si>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</si>
  <si>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</si>
  <si>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</si>
  <si>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</si>
  <si>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</si>
  <si>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</si>
  <si>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</si>
  <si>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</si>
  <si>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</si>
  <si>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</si>
  <si>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</si>
  <si>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</si>
  <si>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</si>
  <si>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</si>
  <si>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</si>
  <si>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</si>
  <si>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</si>
  <si>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</si>
  <si>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</si>
  <si>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</si>
  <si>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</si>
  <si>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</si>
  <si>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</si>
  <si>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</si>
  <si>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</si>
  <si>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</si>
  <si>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</si>
  <si>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</si>
  <si>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</si>
  <si>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</si>
  <si>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</si>
  <si>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</si>
  <si>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</si>
  <si>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</si>
  <si>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</si>
  <si>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</si>
  <si>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</si>
  <si>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</si>
  <si>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</si>
  <si>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</si>
  <si>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</si>
  <si>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</si>
  <si>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</si>
  <si>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</si>
  <si>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</si>
  <si>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</si>
  <si>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</si>
  <si>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</si>
  <si>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</si>
  <si>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</si>
  <si>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</si>
  <si>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</si>
  <si>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</si>
  <si>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</si>
  <si>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</si>
  <si>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</si>
  <si>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</si>
  <si>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</si>
  <si>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</si>
  <si>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</si>
  <si>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</si>
  <si>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</si>
  <si>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</si>
  <si>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</si>
  <si>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</si>
  <si>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</si>
  <si>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</si>
  <si>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</si>
  <si>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</si>
  <si>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</si>
  <si>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</si>
  <si>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</si>
  <si>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</si>
  <si>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</si>
  <si>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</si>
  <si>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</si>
  <si>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</si>
  <si>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</si>
  <si>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</si>
  <si>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</si>
  <si>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</si>
  <si>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</si>
  <si>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</si>
  <si>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</si>
  <si>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</si>
  <si>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</si>
  <si>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</si>
  <si>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</si>
  <si>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</si>
  <si>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</si>
  <si>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</si>
  <si>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</si>
  <si>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</si>
  <si>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</si>
  <si>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</si>
  <si>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</si>
  <si>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</si>
  <si>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</si>
  <si>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</si>
  <si>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</si>
  <si>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</si>
  <si>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</si>
  <si>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</si>
  <si>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</si>
  <si>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</si>
  <si>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</si>
  <si>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</si>
  <si>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</si>
  <si>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</si>
  <si>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</si>
  <si>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</si>
  <si>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</si>
  <si>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</si>
  <si>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</si>
  <si>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</si>
  <si>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</si>
  <si>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</si>
  <si>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</si>
  <si>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</si>
  <si>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</si>
  <si>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</si>
  <si>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</si>
  <si>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</si>
  <si>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</si>
  <si>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</si>
  <si>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</si>
  <si>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</si>
  <si>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</si>
  <si>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</si>
  <si>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</si>
  <si>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</si>
  <si>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</si>
  <si>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</si>
  <si>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</si>
  <si>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</si>
  <si>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</si>
  <si>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</si>
  <si>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</si>
  <si>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</si>
  <si>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</si>
  <si>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</si>
  <si>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</si>
  <si>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</si>
  <si>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</si>
  <si>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</si>
  <si>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</si>
  <si>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</si>
  <si>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</si>
  <si>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</si>
  <si>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</si>
  <si>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</si>
  <si>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</si>
  <si>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</si>
  <si>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</si>
  <si>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</si>
  <si>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</si>
  <si>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</si>
  <si>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</si>
  <si>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</si>
  <si>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</si>
  <si>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</si>
  <si>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</si>
  <si>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</si>
  <si>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</si>
  <si>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</si>
  <si>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</si>
  <si>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</si>
  <si>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r>
      <t xml:space="preserve">Exist in LZ For Shipping#8 </t>
    </r>
    <r>
      <rPr>
        <b/>
        <sz val="10"/>
        <color indexed="12"/>
        <rFont val="Arial"/>
        <family val="2"/>
      </rPr>
      <t>&amp;9</t>
    </r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</si>
  <si>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</si>
  <si>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</si>
  <si>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</si>
  <si>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</si>
  <si>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</si>
  <si>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</si>
  <si>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</si>
  <si>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</si>
  <si>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</si>
  <si>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</si>
  <si>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</si>
  <si>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</si>
  <si>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</si>
  <si>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</si>
  <si>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</si>
  <si>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Exist in LZ - to be shipped to Protvino ?????????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</si>
  <si>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</si>
  <si>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</si>
  <si>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</si>
  <si>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</si>
  <si>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</si>
  <si>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</si>
  <si>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</si>
  <si>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lost</t>
  </si>
  <si>
    <t>Comment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</si>
</sst>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92" fontId="0" fillId="5" borderId="2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9" borderId="0" xfId="0" applyNumberFormat="1" applyFont="1" applyFill="1" applyBorder="1" applyAlignment="1">
      <alignment horizontal="center" vertical="top" wrapText="1"/>
    </xf>
    <xf numFmtId="1" fontId="0" fillId="9" borderId="2" xfId="0" applyNumberFormat="1" applyFill="1" applyBorder="1" applyAlignment="1">
      <alignment horizontal="center"/>
    </xf>
    <xf numFmtId="0" fontId="0" fillId="1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32"/>
  <sheetViews>
    <sheetView tabSelected="1" workbookViewId="0" topLeftCell="A1">
      <pane xSplit="1" topLeftCell="U1" activePane="topRight" state="frozen"/>
      <selection pane="topLeft" activeCell="A1" sqref="A1"/>
      <selection pane="topRight" activeCell="AD25" sqref="AD25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9" width="9.28125" style="0" customWidth="1"/>
    <col min="30" max="31" width="13.57421875" style="0" customWidth="1"/>
    <col min="32" max="32" width="9.421875" style="0" customWidth="1"/>
    <col min="33" max="33" width="11.421875" style="0" customWidth="1"/>
  </cols>
  <sheetData>
    <row r="1" spans="1:35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13" t="s">
        <v>350</v>
      </c>
      <c r="K1" s="154" t="s">
        <v>345</v>
      </c>
      <c r="L1" s="190" t="s">
        <v>4</v>
      </c>
      <c r="M1" s="33" t="s">
        <v>29</v>
      </c>
      <c r="N1" s="38" t="s">
        <v>124</v>
      </c>
      <c r="O1" s="188" t="s">
        <v>346</v>
      </c>
      <c r="P1" s="33" t="s">
        <v>30</v>
      </c>
      <c r="Q1" s="156" t="s">
        <v>347</v>
      </c>
      <c r="R1" s="33" t="s">
        <v>228</v>
      </c>
      <c r="S1" s="40" t="s">
        <v>16</v>
      </c>
      <c r="T1" s="40" t="s">
        <v>28</v>
      </c>
      <c r="U1" s="39" t="s">
        <v>120</v>
      </c>
      <c r="V1" s="156" t="s">
        <v>229</v>
      </c>
      <c r="W1" s="156" t="s">
        <v>164</v>
      </c>
      <c r="X1" s="165" t="s">
        <v>119</v>
      </c>
      <c r="Y1" s="165" t="s">
        <v>249</v>
      </c>
      <c r="Z1" s="166" t="s">
        <v>118</v>
      </c>
      <c r="AA1" s="166" t="s">
        <v>344</v>
      </c>
      <c r="AB1" s="166" t="s">
        <v>360</v>
      </c>
      <c r="AC1" s="166" t="s">
        <v>269</v>
      </c>
      <c r="AD1" s="165" t="s">
        <v>182</v>
      </c>
      <c r="AE1" s="214" t="s">
        <v>353</v>
      </c>
      <c r="AF1" s="214" t="s">
        <v>369</v>
      </c>
      <c r="AG1" s="39" t="s">
        <v>348</v>
      </c>
      <c r="AH1" s="191" t="s">
        <v>314</v>
      </c>
      <c r="AI1" s="191" t="s">
        <v>349</v>
      </c>
    </row>
    <row r="2" spans="1:34" ht="12.75">
      <c r="A2" s="41" t="s">
        <v>361</v>
      </c>
      <c r="B2" s="42" t="s">
        <v>59</v>
      </c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53"/>
      <c r="AA2" s="53"/>
      <c r="AB2" s="53" t="s">
        <v>41</v>
      </c>
      <c r="AC2" s="53"/>
      <c r="AD2" s="88"/>
      <c r="AE2" s="88"/>
      <c r="AF2" s="88"/>
      <c r="AG2" s="51"/>
      <c r="AH2" s="9"/>
    </row>
    <row r="3" spans="1:34" ht="12.75">
      <c r="A3" s="170" t="s">
        <v>337</v>
      </c>
      <c r="B3" s="54"/>
      <c r="C3" s="54"/>
      <c r="D3" s="55"/>
      <c r="E3" s="55"/>
      <c r="F3" s="55"/>
      <c r="G3" s="85"/>
      <c r="H3" s="85"/>
      <c r="I3" s="56"/>
      <c r="J3" s="187"/>
      <c r="K3" s="187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3"/>
      <c r="AA3" s="53"/>
      <c r="AB3" s="53"/>
      <c r="AC3" s="53"/>
      <c r="AD3" s="52"/>
      <c r="AE3" s="52"/>
      <c r="AF3" s="52"/>
      <c r="AG3" s="51"/>
      <c r="AH3" s="9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6">
        <f>I4</f>
        <v>4690</v>
      </c>
      <c r="K4" s="206">
        <f>E4+F4</f>
        <v>4305</v>
      </c>
      <c r="L4" s="7"/>
      <c r="M4" s="56"/>
      <c r="N4" s="52"/>
      <c r="O4" s="52"/>
      <c r="P4" s="189"/>
      <c r="Q4" s="52" t="s">
        <v>281</v>
      </c>
      <c r="R4" s="51"/>
      <c r="S4" s="50"/>
      <c r="T4" s="50"/>
      <c r="U4" s="61"/>
      <c r="V4" s="160"/>
      <c r="W4" s="61"/>
      <c r="X4" s="51"/>
      <c r="Y4" s="51"/>
      <c r="Z4" s="52"/>
      <c r="AA4" s="52"/>
      <c r="AB4" s="52"/>
      <c r="AC4" s="52"/>
      <c r="AD4" s="155">
        <v>4020</v>
      </c>
      <c r="AE4" s="155"/>
      <c r="AF4" s="155"/>
      <c r="AG4" s="61"/>
      <c r="AH4" s="9"/>
    </row>
    <row r="5" spans="1:35" ht="12.75">
      <c r="A5" s="62" t="s">
        <v>62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67"/>
      <c r="AA5" s="67"/>
      <c r="AB5" s="67"/>
      <c r="AC5" s="67"/>
      <c r="AD5" s="73"/>
      <c r="AE5" s="73"/>
      <c r="AF5" s="73"/>
      <c r="AG5" s="72"/>
      <c r="AH5" s="10"/>
      <c r="AI5" s="10"/>
    </row>
    <row r="6" spans="1:34" ht="12.75">
      <c r="A6" s="74" t="s">
        <v>146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95</v>
      </c>
      <c r="N6" s="78">
        <f>-I6+L6</f>
        <v>-505</v>
      </c>
      <c r="O6" s="130">
        <f>-K6+L6</f>
        <v>-505</v>
      </c>
      <c r="P6" s="96">
        <v>4133</v>
      </c>
      <c r="Q6" s="51" t="s">
        <v>322</v>
      </c>
      <c r="R6" s="172">
        <f aca="true" t="shared" si="0" ref="R6:R59">-I6+P6</f>
        <v>-172</v>
      </c>
      <c r="S6" s="140" t="s">
        <v>31</v>
      </c>
      <c r="T6" s="50" t="s">
        <v>106</v>
      </c>
      <c r="U6" s="51"/>
      <c r="V6" s="157"/>
      <c r="W6" s="157" t="s">
        <v>165</v>
      </c>
      <c r="X6" s="162">
        <v>1394</v>
      </c>
      <c r="Y6" s="162">
        <f>W6+X6</f>
        <v>3773</v>
      </c>
      <c r="Z6" s="147">
        <f>Y6-K6</f>
        <v>-532</v>
      </c>
      <c r="AA6" s="91">
        <v>0</v>
      </c>
      <c r="AB6" s="147">
        <f>AA6+Z6</f>
        <v>-532</v>
      </c>
      <c r="AC6" s="91"/>
      <c r="AD6" s="88">
        <f>Y6/D6</f>
        <v>3773</v>
      </c>
      <c r="AE6" s="88">
        <f>J6-(AD6*D6)</f>
        <v>532</v>
      </c>
      <c r="AF6" s="88"/>
      <c r="AG6" s="89"/>
      <c r="AH6" s="9"/>
    </row>
    <row r="7" spans="1:34" s="15" customFormat="1" ht="12.75">
      <c r="A7" s="99" t="s">
        <v>147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95</v>
      </c>
      <c r="N7" s="130">
        <f>-I7+L7</f>
        <v>-75</v>
      </c>
      <c r="O7" s="130">
        <f aca="true" t="shared" si="2" ref="O7:O35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91"/>
      <c r="AA7" s="91"/>
      <c r="AB7" s="91"/>
      <c r="AC7" s="91"/>
      <c r="AD7" s="88"/>
      <c r="AE7" s="88">
        <f aca="true" t="shared" si="3" ref="AE7:AE60">J7-(AD7*D7)</f>
        <v>385</v>
      </c>
      <c r="AF7" s="88"/>
      <c r="AG7" s="89"/>
      <c r="AH7" s="9"/>
    </row>
    <row r="8" spans="1:34" ht="12.75">
      <c r="A8" s="81" t="s">
        <v>46</v>
      </c>
      <c r="B8" s="42" t="s">
        <v>148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95</v>
      </c>
      <c r="N8" s="78">
        <f>-I8+L8</f>
        <v>-580</v>
      </c>
      <c r="O8" s="130">
        <f t="shared" si="2"/>
        <v>-195</v>
      </c>
      <c r="P8" s="96">
        <v>4271</v>
      </c>
      <c r="Q8" s="89" t="s">
        <v>328</v>
      </c>
      <c r="R8" s="172">
        <f t="shared" si="0"/>
        <v>-419</v>
      </c>
      <c r="S8" s="140" t="s">
        <v>31</v>
      </c>
      <c r="T8" s="50" t="s">
        <v>106</v>
      </c>
      <c r="U8" s="51"/>
      <c r="V8" s="157"/>
      <c r="W8" s="157" t="s">
        <v>166</v>
      </c>
      <c r="X8" s="162">
        <v>1500</v>
      </c>
      <c r="Y8" s="162">
        <f>W8+X8</f>
        <v>3818</v>
      </c>
      <c r="Z8" s="147">
        <f>Y8-K8</f>
        <v>-487</v>
      </c>
      <c r="AA8" s="91">
        <v>0</v>
      </c>
      <c r="AB8" s="147">
        <f>AA8+Z8</f>
        <v>-487</v>
      </c>
      <c r="AC8" s="91"/>
      <c r="AD8" s="174">
        <f>Y8/D8</f>
        <v>3818</v>
      </c>
      <c r="AE8" s="174">
        <f>J8-(AD8*D8)</f>
        <v>872</v>
      </c>
      <c r="AF8" s="174" t="s">
        <v>358</v>
      </c>
      <c r="AG8" s="89"/>
      <c r="AH8" s="9"/>
    </row>
    <row r="9" spans="1:34" ht="12.75">
      <c r="A9" s="74" t="s">
        <v>149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92</v>
      </c>
      <c r="N9" s="78">
        <f>-I9+L9</f>
        <v>-1500</v>
      </c>
      <c r="O9" s="130">
        <f t="shared" si="2"/>
        <v>-1500</v>
      </c>
      <c r="P9" s="96">
        <f>Y9+576+AA9</f>
        <v>7291</v>
      </c>
      <c r="Q9" s="51" t="s">
        <v>325</v>
      </c>
      <c r="R9" s="172">
        <f t="shared" si="0"/>
        <v>-1319</v>
      </c>
      <c r="S9" s="50"/>
      <c r="T9" s="50" t="s">
        <v>24</v>
      </c>
      <c r="U9" s="93"/>
      <c r="V9" s="157" t="s">
        <v>231</v>
      </c>
      <c r="W9" s="157" t="s">
        <v>259</v>
      </c>
      <c r="X9" s="162">
        <v>0</v>
      </c>
      <c r="Y9" s="162">
        <f>V9+W9+X9+1909</f>
        <v>3948</v>
      </c>
      <c r="Z9" s="147">
        <f>Y9-K9</f>
        <v>-4662</v>
      </c>
      <c r="AA9" s="204">
        <f>ceramics!I27</f>
        <v>2767</v>
      </c>
      <c r="AB9" s="147">
        <f>AA9+Z9</f>
        <v>-1895</v>
      </c>
      <c r="AC9" s="91">
        <f>AA9/D9</f>
        <v>1383.5</v>
      </c>
      <c r="AD9" s="174">
        <v>3000</v>
      </c>
      <c r="AE9" s="174"/>
      <c r="AF9" s="174" t="s">
        <v>359</v>
      </c>
      <c r="AG9" s="105"/>
      <c r="AH9" s="9"/>
    </row>
    <row r="10" spans="1:34" s="15" customFormat="1" ht="12.75">
      <c r="A10" s="99" t="s">
        <v>150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91"/>
      <c r="AA10" s="91"/>
      <c r="AB10" s="91"/>
      <c r="AC10" s="91"/>
      <c r="AD10" s="88"/>
      <c r="AE10" s="88">
        <v>0</v>
      </c>
      <c r="AF10" s="88"/>
      <c r="AG10" s="105"/>
      <c r="AH10" s="9"/>
    </row>
    <row r="11" spans="1:34" ht="12.75">
      <c r="A11" s="81" t="s">
        <v>151</v>
      </c>
      <c r="B11" s="59" t="s">
        <v>57</v>
      </c>
      <c r="C11" s="59" t="s">
        <v>244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92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313</v>
      </c>
      <c r="R11" s="172">
        <f t="shared" si="0"/>
        <v>-55479</v>
      </c>
      <c r="S11" s="50"/>
      <c r="T11" s="50" t="s">
        <v>24</v>
      </c>
      <c r="U11" s="49" t="s">
        <v>122</v>
      </c>
      <c r="V11" s="157" t="s">
        <v>236</v>
      </c>
      <c r="W11" s="157" t="s">
        <v>313</v>
      </c>
      <c r="X11" s="163">
        <v>0</v>
      </c>
      <c r="Y11" s="162">
        <f>V11+W11+X11</f>
        <v>207126</v>
      </c>
      <c r="Z11" s="147">
        <f>Y11-K11</f>
        <v>-55479</v>
      </c>
      <c r="AA11" s="91">
        <v>0</v>
      </c>
      <c r="AB11" s="147">
        <f>AA11+Z11</f>
        <v>-55479</v>
      </c>
      <c r="AC11" s="91">
        <f>AA11/D11</f>
        <v>0</v>
      </c>
      <c r="AD11" s="174">
        <f>Y11/D11+AC11</f>
        <v>3395.5081967213114</v>
      </c>
      <c r="AE11" s="174">
        <f t="shared" si="3"/>
        <v>55479</v>
      </c>
      <c r="AF11" s="174"/>
      <c r="AG11" s="89"/>
      <c r="AH11" s="9"/>
    </row>
    <row r="12" spans="1:34" s="15" customFormat="1" ht="12.75">
      <c r="A12" s="82" t="s">
        <v>351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122</v>
      </c>
      <c r="V12" s="89"/>
      <c r="W12" s="89"/>
      <c r="X12" s="88"/>
      <c r="Y12" s="88"/>
      <c r="Z12" s="91"/>
      <c r="AA12" s="91"/>
      <c r="AB12" s="91"/>
      <c r="AC12" s="91"/>
      <c r="AD12" s="88"/>
      <c r="AE12" s="88">
        <f t="shared" si="3"/>
        <v>770</v>
      </c>
      <c r="AF12" s="88"/>
      <c r="AG12" s="89"/>
      <c r="AH12" s="9"/>
    </row>
    <row r="13" spans="1:34" ht="12.75">
      <c r="A13" s="74" t="s">
        <v>20</v>
      </c>
      <c r="B13" s="43" t="s">
        <v>61</v>
      </c>
      <c r="C13" s="97" t="s">
        <v>60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93</v>
      </c>
      <c r="N13" s="78">
        <f>-I13+L13-I14+L14</f>
        <v>-92980</v>
      </c>
      <c r="O13" s="130">
        <f t="shared" si="2"/>
        <v>-89515</v>
      </c>
      <c r="P13" s="96">
        <f>Y13+1000+48075+AA13</f>
        <v>421229</v>
      </c>
      <c r="Q13" s="51" t="s">
        <v>319</v>
      </c>
      <c r="R13" s="172">
        <f t="shared" si="0"/>
        <v>-370051</v>
      </c>
      <c r="S13" s="140" t="s">
        <v>31</v>
      </c>
      <c r="T13" s="50" t="s">
        <v>126</v>
      </c>
      <c r="U13" s="89" t="s">
        <v>41</v>
      </c>
      <c r="V13" s="157" t="s">
        <v>237</v>
      </c>
      <c r="W13" s="157" t="s">
        <v>260</v>
      </c>
      <c r="X13" s="162">
        <v>1830</v>
      </c>
      <c r="Y13" s="162">
        <f>V13+W13+X13+119835</f>
        <v>290084</v>
      </c>
      <c r="Z13" s="147">
        <f>Y13-K13</f>
        <v>-497731</v>
      </c>
      <c r="AA13" s="204">
        <f>25000+32160+15250+9660</f>
        <v>82070</v>
      </c>
      <c r="AB13" s="147">
        <f>AA13+Z13</f>
        <v>-415661</v>
      </c>
      <c r="AC13" s="91">
        <f>585</f>
        <v>585</v>
      </c>
      <c r="AD13" s="174">
        <v>2031</v>
      </c>
      <c r="AE13" s="174">
        <f t="shared" si="3"/>
        <v>419607</v>
      </c>
      <c r="AF13" s="174" t="s">
        <v>359</v>
      </c>
      <c r="AG13" s="89"/>
      <c r="AH13" s="9"/>
    </row>
    <row r="14" spans="1:34" s="15" customFormat="1" ht="12.75">
      <c r="A14" s="99" t="s">
        <v>152</v>
      </c>
      <c r="B14" s="83" t="s">
        <v>61</v>
      </c>
      <c r="C14" s="97" t="s">
        <v>60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234</v>
      </c>
      <c r="S14" s="90"/>
      <c r="T14" s="90"/>
      <c r="U14" s="89" t="s">
        <v>41</v>
      </c>
      <c r="V14" s="89"/>
      <c r="W14" s="89"/>
      <c r="X14" s="88"/>
      <c r="Y14" s="88"/>
      <c r="Z14" s="91"/>
      <c r="AA14" s="91"/>
      <c r="AB14" s="91"/>
      <c r="AC14" s="91"/>
      <c r="AD14" s="88"/>
      <c r="AE14" s="88" t="s">
        <v>234</v>
      </c>
      <c r="AF14" s="88"/>
      <c r="AG14" s="89"/>
      <c r="AH14" s="9"/>
    </row>
    <row r="15" spans="1:34" s="15" customFormat="1" ht="12.75">
      <c r="A15" s="99" t="s">
        <v>153</v>
      </c>
      <c r="B15" s="83" t="s">
        <v>61</v>
      </c>
      <c r="C15" s="97" t="s">
        <v>60</v>
      </c>
      <c r="D15" s="84">
        <v>3</v>
      </c>
      <c r="E15" s="86"/>
      <c r="F15" s="84"/>
      <c r="G15" s="86" t="s">
        <v>234</v>
      </c>
      <c r="H15" s="88" t="s">
        <v>234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93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91"/>
      <c r="AA15" s="91"/>
      <c r="AB15" s="91"/>
      <c r="AC15" s="91"/>
      <c r="AD15" s="88"/>
      <c r="AE15" s="88" t="s">
        <v>234</v>
      </c>
      <c r="AF15" s="88"/>
      <c r="AG15" s="89"/>
      <c r="AH15" s="9"/>
    </row>
    <row r="16" spans="1:34" ht="12.75">
      <c r="A16" s="74" t="s">
        <v>21</v>
      </c>
      <c r="B16" s="43" t="s">
        <v>61</v>
      </c>
      <c r="C16" s="97" t="s">
        <v>60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93</v>
      </c>
      <c r="N16" s="78">
        <f>-I16+L16</f>
        <v>-3030</v>
      </c>
      <c r="O16" s="130">
        <f t="shared" si="2"/>
        <v>-3030</v>
      </c>
      <c r="P16" s="96">
        <f>Y16+AA16</f>
        <v>10625</v>
      </c>
      <c r="Q16" s="51" t="s">
        <v>320</v>
      </c>
      <c r="R16" s="172">
        <f t="shared" si="0"/>
        <v>-15205</v>
      </c>
      <c r="S16" s="140" t="s">
        <v>31</v>
      </c>
      <c r="T16" s="50" t="s">
        <v>126</v>
      </c>
      <c r="U16" s="89" t="s">
        <v>41</v>
      </c>
      <c r="V16" s="157" t="s">
        <v>238</v>
      </c>
      <c r="W16" s="157" t="s">
        <v>168</v>
      </c>
      <c r="X16" s="162">
        <v>60</v>
      </c>
      <c r="Y16" s="162">
        <f>V16+W16+X16</f>
        <v>10625</v>
      </c>
      <c r="Z16" s="147">
        <f>Y16-K16</f>
        <v>-15205</v>
      </c>
      <c r="AA16" s="91">
        <v>0</v>
      </c>
      <c r="AB16" s="147">
        <f>AA16+Z16</f>
        <v>-15205</v>
      </c>
      <c r="AC16" s="91">
        <f>AA16/D16</f>
        <v>0</v>
      </c>
      <c r="AD16" s="174">
        <v>1767</v>
      </c>
      <c r="AE16" s="174">
        <f t="shared" si="3"/>
        <v>15228</v>
      </c>
      <c r="AF16" s="174" t="s">
        <v>359</v>
      </c>
      <c r="AG16" s="89"/>
      <c r="AH16" s="9"/>
    </row>
    <row r="17" spans="1:34" ht="12.75">
      <c r="A17" s="74" t="s">
        <v>69</v>
      </c>
      <c r="B17" s="43" t="s">
        <v>68</v>
      </c>
      <c r="C17" s="59" t="s">
        <v>73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93</v>
      </c>
      <c r="N17" s="78">
        <f>-I17+L17</f>
        <v>-580</v>
      </c>
      <c r="O17" s="130">
        <f t="shared" si="2"/>
        <v>-195</v>
      </c>
      <c r="P17" s="96">
        <f>Y17+AA17</f>
        <v>4432</v>
      </c>
      <c r="Q17" s="89" t="s">
        <v>316</v>
      </c>
      <c r="R17" s="197">
        <f t="shared" si="0"/>
        <v>-258</v>
      </c>
      <c r="S17" s="50"/>
      <c r="T17" s="50" t="s">
        <v>24</v>
      </c>
      <c r="U17" s="49" t="s">
        <v>122</v>
      </c>
      <c r="V17" s="157" t="s">
        <v>230</v>
      </c>
      <c r="W17" s="157" t="s">
        <v>169</v>
      </c>
      <c r="X17" s="162">
        <v>50</v>
      </c>
      <c r="Y17" s="162">
        <f>V17+W17+X17</f>
        <v>4432</v>
      </c>
      <c r="Z17" s="147">
        <f>Y17-K17</f>
        <v>127</v>
      </c>
      <c r="AA17" s="147"/>
      <c r="AB17" s="147"/>
      <c r="AC17" s="91"/>
      <c r="AD17" s="167">
        <f>Y17/D17</f>
        <v>4432</v>
      </c>
      <c r="AE17" s="167">
        <f t="shared" si="3"/>
        <v>258</v>
      </c>
      <c r="AF17" s="167"/>
      <c r="AG17" s="89"/>
      <c r="AH17" s="9"/>
    </row>
    <row r="18" spans="1:34" ht="12.75">
      <c r="A18" s="74" t="s">
        <v>70</v>
      </c>
      <c r="B18" s="43" t="s">
        <v>72</v>
      </c>
      <c r="C18" s="59" t="s">
        <v>71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93</v>
      </c>
      <c r="N18" s="78">
        <f>-I18+L18</f>
        <v>-505</v>
      </c>
      <c r="O18" s="130">
        <f t="shared" si="2"/>
        <v>-505</v>
      </c>
      <c r="P18" s="96">
        <f>Y18+AA18</f>
        <v>3592</v>
      </c>
      <c r="Q18" s="89" t="s">
        <v>317</v>
      </c>
      <c r="R18" s="197">
        <f t="shared" si="0"/>
        <v>-713</v>
      </c>
      <c r="S18" s="50"/>
      <c r="T18" s="50" t="s">
        <v>24</v>
      </c>
      <c r="U18" s="49" t="s">
        <v>125</v>
      </c>
      <c r="V18" s="157" t="s">
        <v>230</v>
      </c>
      <c r="W18" s="157" t="s">
        <v>170</v>
      </c>
      <c r="X18" s="162">
        <v>10</v>
      </c>
      <c r="Y18" s="162">
        <f>V18+W18+X18</f>
        <v>3592</v>
      </c>
      <c r="Z18" s="147">
        <f>Y18-K18</f>
        <v>-713</v>
      </c>
      <c r="AA18" s="91">
        <v>0</v>
      </c>
      <c r="AB18" s="147">
        <f>AA18+Z18</f>
        <v>-713</v>
      </c>
      <c r="AC18" s="91">
        <f>AA18/D18</f>
        <v>0</v>
      </c>
      <c r="AD18" s="174">
        <f>Y18/D18</f>
        <v>3592</v>
      </c>
      <c r="AE18" s="174">
        <f t="shared" si="3"/>
        <v>713</v>
      </c>
      <c r="AF18" s="174"/>
      <c r="AG18" s="89"/>
      <c r="AH18" s="9"/>
    </row>
    <row r="19" spans="1:35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67"/>
      <c r="AA19" s="67"/>
      <c r="AB19" s="67"/>
      <c r="AC19" s="67"/>
      <c r="AD19" s="104"/>
      <c r="AE19" s="104">
        <f t="shared" si="3"/>
        <v>0</v>
      </c>
      <c r="AF19" s="104"/>
      <c r="AG19" s="72"/>
      <c r="AH19" s="10"/>
      <c r="AI19" s="10"/>
    </row>
    <row r="20" spans="1:34" ht="12.75">
      <c r="A20" s="74" t="s">
        <v>79</v>
      </c>
      <c r="B20" s="43" t="s">
        <v>77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93</v>
      </c>
      <c r="N20" s="78">
        <f>-I20+L20</f>
        <v>-1320</v>
      </c>
      <c r="O20" s="130">
        <f t="shared" si="2"/>
        <v>-1320</v>
      </c>
      <c r="P20" s="198">
        <f>Y20+1018+1144+AA20</f>
        <v>9909</v>
      </c>
      <c r="Q20" s="89" t="s">
        <v>262</v>
      </c>
      <c r="R20" s="172" t="e">
        <f>-K20+#REF!*D20</f>
        <v>#REF!</v>
      </c>
      <c r="S20" s="90"/>
      <c r="T20" s="50" t="s">
        <v>24</v>
      </c>
      <c r="U20" s="105"/>
      <c r="V20" s="157" t="s">
        <v>240</v>
      </c>
      <c r="W20" s="157" t="s">
        <v>261</v>
      </c>
      <c r="X20" s="162">
        <v>0</v>
      </c>
      <c r="Y20" s="199">
        <f>V20+W20+X20+5240</f>
        <v>7747</v>
      </c>
      <c r="Z20" s="200">
        <f>Y20-K20</f>
        <v>-1273</v>
      </c>
      <c r="AA20" s="91">
        <v>0</v>
      </c>
      <c r="AB20" s="147">
        <f>AA20+Z20</f>
        <v>-1273</v>
      </c>
      <c r="AC20" s="201">
        <f>AA20/D20</f>
        <v>0</v>
      </c>
      <c r="AD20" s="180">
        <v>2611</v>
      </c>
      <c r="AE20" s="180">
        <f>J20-(AD20*D20)</f>
        <v>3798</v>
      </c>
      <c r="AF20" s="180"/>
      <c r="AG20" s="105"/>
      <c r="AH20" s="15"/>
    </row>
    <row r="21" spans="1:34" ht="12.75">
      <c r="A21" s="74" t="s">
        <v>78</v>
      </c>
      <c r="B21" s="43" t="s">
        <v>77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93</v>
      </c>
      <c r="N21" s="78">
        <f>-I21+L21</f>
        <v>-2640</v>
      </c>
      <c r="O21" s="130">
        <f t="shared" si="2"/>
        <v>-2640</v>
      </c>
      <c r="P21" s="198">
        <f>Y21+2995+2000+AA21</f>
        <v>20228</v>
      </c>
      <c r="Q21" s="89" t="s">
        <v>261</v>
      </c>
      <c r="R21" s="172" t="e">
        <f>-K21+#REF!*D21</f>
        <v>#REF!</v>
      </c>
      <c r="S21" s="50"/>
      <c r="T21" s="50" t="s">
        <v>24</v>
      </c>
      <c r="U21" s="51"/>
      <c r="V21" s="157" t="s">
        <v>243</v>
      </c>
      <c r="W21" s="157" t="s">
        <v>262</v>
      </c>
      <c r="X21" s="162">
        <v>4</v>
      </c>
      <c r="Y21" s="199">
        <f>V21+W21+X21+9684</f>
        <v>15233</v>
      </c>
      <c r="Z21" s="200">
        <f>Y21-K21</f>
        <v>-2807</v>
      </c>
      <c r="AA21" s="91">
        <v>0</v>
      </c>
      <c r="AB21" s="147">
        <f>AA21+Z21</f>
        <v>-2807</v>
      </c>
      <c r="AC21" s="201">
        <f>AA21/D21</f>
        <v>0</v>
      </c>
      <c r="AD21" s="180">
        <v>3445</v>
      </c>
      <c r="AE21" s="180">
        <f t="shared" si="3"/>
        <v>4260</v>
      </c>
      <c r="AF21" s="180"/>
      <c r="AG21" s="89"/>
      <c r="AH21" s="9"/>
    </row>
    <row r="22" spans="1:35" ht="12.75">
      <c r="A22" s="101" t="s">
        <v>64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67"/>
      <c r="AA22" s="67"/>
      <c r="AB22" s="67"/>
      <c r="AC22" s="67"/>
      <c r="AD22" s="104"/>
      <c r="AE22" s="104">
        <f t="shared" si="3"/>
        <v>0</v>
      </c>
      <c r="AF22" s="104"/>
      <c r="AG22" s="72"/>
      <c r="AH22" s="10"/>
      <c r="AI22" s="10"/>
    </row>
    <row r="23" spans="1:34" ht="12.75">
      <c r="A23" s="81" t="s">
        <v>66</v>
      </c>
      <c r="B23" s="59" t="s">
        <v>65</v>
      </c>
      <c r="C23" s="59" t="s">
        <v>63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93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80"/>
      <c r="AA23" s="80"/>
      <c r="AB23" s="80"/>
      <c r="AC23" s="80"/>
      <c r="AD23" s="52"/>
      <c r="AE23" s="52">
        <f t="shared" si="3"/>
        <v>0</v>
      </c>
      <c r="AF23" s="52"/>
      <c r="AG23" s="89"/>
      <c r="AH23" s="9"/>
    </row>
    <row r="24" spans="1:34" ht="12.75">
      <c r="A24" s="81" t="s">
        <v>245</v>
      </c>
      <c r="B24" s="59"/>
      <c r="C24" s="59"/>
      <c r="D24" s="44"/>
      <c r="E24" s="45"/>
      <c r="F24" s="85"/>
      <c r="G24" s="86"/>
      <c r="H24" s="85"/>
      <c r="I24" s="46"/>
      <c r="J24" s="153" t="s">
        <v>234</v>
      </c>
      <c r="K24" s="153" t="s">
        <v>234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248</v>
      </c>
      <c r="X24" s="88"/>
      <c r="Y24" s="88"/>
      <c r="Z24" s="80"/>
      <c r="AA24" s="80"/>
      <c r="AB24" s="80"/>
      <c r="AC24" s="80"/>
      <c r="AD24" s="52"/>
      <c r="AE24" s="52" t="e">
        <f t="shared" si="3"/>
        <v>#VALUE!</v>
      </c>
      <c r="AF24" s="52"/>
      <c r="AG24" s="89"/>
      <c r="AH24" s="171"/>
    </row>
    <row r="25" spans="1:34" ht="12.75">
      <c r="A25" s="106" t="s">
        <v>115</v>
      </c>
      <c r="B25" s="59" t="s">
        <v>67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93</v>
      </c>
      <c r="N25" s="130">
        <f>-I25+L25</f>
        <v>0</v>
      </c>
      <c r="O25" s="130">
        <f t="shared" si="2"/>
        <v>20</v>
      </c>
      <c r="P25" s="47">
        <f>Y25+AA25</f>
        <v>342</v>
      </c>
      <c r="Q25" s="51"/>
      <c r="R25" s="79">
        <f t="shared" si="0"/>
        <v>-158</v>
      </c>
      <c r="S25" s="50"/>
      <c r="T25" s="50" t="s">
        <v>24</v>
      </c>
      <c r="U25" s="51"/>
      <c r="V25" s="157"/>
      <c r="W25" s="157" t="s">
        <v>232</v>
      </c>
      <c r="X25" s="88"/>
      <c r="Y25" s="162">
        <f>V25+W25+X25+250</f>
        <v>292</v>
      </c>
      <c r="Z25" s="147"/>
      <c r="AA25" s="173">
        <v>50</v>
      </c>
      <c r="AB25" s="91"/>
      <c r="AC25" s="173">
        <v>50</v>
      </c>
      <c r="AD25" s="96">
        <f>Y25/D25+AC25+5</f>
        <v>347</v>
      </c>
      <c r="AE25" s="96">
        <f t="shared" si="3"/>
        <v>133</v>
      </c>
      <c r="AF25" s="96"/>
      <c r="AG25" s="89"/>
      <c r="AH25" s="9"/>
    </row>
    <row r="26" spans="1:35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67"/>
      <c r="AA26" s="67"/>
      <c r="AB26" s="67"/>
      <c r="AC26" s="67"/>
      <c r="AD26" s="104"/>
      <c r="AE26" s="104">
        <f t="shared" si="3"/>
        <v>0</v>
      </c>
      <c r="AF26" s="104"/>
      <c r="AG26" s="72"/>
      <c r="AH26" s="10"/>
      <c r="AI26" s="10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4" ref="E27:E32">$E$4</f>
        <v>4100</v>
      </c>
      <c r="F27" s="45">
        <f aca="true" t="shared" si="5" ref="F27:F32">$E27*5/100</f>
        <v>205</v>
      </c>
      <c r="G27" s="86"/>
      <c r="H27" s="88"/>
      <c r="I27" s="46">
        <f aca="true" t="shared" si="6" ref="I27:I32">D27*(E27+F27+G27+H27)</f>
        <v>4305</v>
      </c>
      <c r="J27" s="152">
        <f aca="true" t="shared" si="7" ref="J27:J32">I27</f>
        <v>4305</v>
      </c>
      <c r="K27" s="152">
        <f>K4*D27</f>
        <v>4305</v>
      </c>
      <c r="L27" s="77">
        <v>3850</v>
      </c>
      <c r="M27" s="47" t="s">
        <v>95</v>
      </c>
      <c r="N27" s="78">
        <f aca="true" t="shared" si="8" ref="N27:N32">-I27+L27</f>
        <v>-455</v>
      </c>
      <c r="O27" s="130">
        <f t="shared" si="2"/>
        <v>-455</v>
      </c>
      <c r="P27" s="96">
        <f aca="true" t="shared" si="9" ref="P27:P32">Y27</f>
        <v>3784</v>
      </c>
      <c r="Q27" s="51" t="s">
        <v>171</v>
      </c>
      <c r="R27" s="197">
        <f t="shared" si="0"/>
        <v>-521</v>
      </c>
      <c r="S27" s="140" t="s">
        <v>31</v>
      </c>
      <c r="T27" s="50" t="s">
        <v>24</v>
      </c>
      <c r="U27" s="51" t="s">
        <v>122</v>
      </c>
      <c r="V27" s="157" t="s">
        <v>240</v>
      </c>
      <c r="W27" s="157" t="s">
        <v>171</v>
      </c>
      <c r="X27" s="162">
        <v>0</v>
      </c>
      <c r="Y27" s="162">
        <f aca="true" t="shared" si="10" ref="Y27:Y32">V27+W27+X27</f>
        <v>3784</v>
      </c>
      <c r="Z27" s="147">
        <f aca="true" t="shared" si="11" ref="Z27:Z32">Y27-K27</f>
        <v>-521</v>
      </c>
      <c r="AA27" s="91"/>
      <c r="AB27" s="91"/>
      <c r="AC27" s="91"/>
      <c r="AD27" s="167">
        <f aca="true" t="shared" si="12" ref="AD27:AD32">Y27/D27</f>
        <v>3784</v>
      </c>
      <c r="AE27" s="167">
        <f t="shared" si="3"/>
        <v>521</v>
      </c>
      <c r="AF27" s="167"/>
      <c r="AG27" s="89"/>
      <c r="AH27" s="9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4"/>
        <v>4100</v>
      </c>
      <c r="F28" s="45">
        <f t="shared" si="5"/>
        <v>205</v>
      </c>
      <c r="G28" s="86"/>
      <c r="H28" s="88"/>
      <c r="I28" s="46">
        <f t="shared" si="6"/>
        <v>8610</v>
      </c>
      <c r="J28" s="152">
        <f t="shared" si="7"/>
        <v>8610</v>
      </c>
      <c r="K28" s="152">
        <f>K4*D28</f>
        <v>8610</v>
      </c>
      <c r="L28" s="46">
        <v>8220</v>
      </c>
      <c r="M28" s="47" t="s">
        <v>92</v>
      </c>
      <c r="N28" s="78">
        <f t="shared" si="8"/>
        <v>-390</v>
      </c>
      <c r="O28" s="130">
        <f t="shared" si="2"/>
        <v>-390</v>
      </c>
      <c r="P28" s="96">
        <f>Y28+AA28</f>
        <v>8368</v>
      </c>
      <c r="Q28" s="89" t="s">
        <v>318</v>
      </c>
      <c r="R28" s="197">
        <f t="shared" si="0"/>
        <v>-242</v>
      </c>
      <c r="S28" s="50" t="s">
        <v>106</v>
      </c>
      <c r="T28" s="50" t="s">
        <v>106</v>
      </c>
      <c r="U28" s="51"/>
      <c r="V28" s="157" t="s">
        <v>247</v>
      </c>
      <c r="W28" s="157" t="s">
        <v>263</v>
      </c>
      <c r="X28" s="162">
        <v>0</v>
      </c>
      <c r="Y28" s="162">
        <f t="shared" si="10"/>
        <v>4803</v>
      </c>
      <c r="Z28" s="147">
        <f t="shared" si="11"/>
        <v>-3807</v>
      </c>
      <c r="AA28" s="91">
        <v>3565</v>
      </c>
      <c r="AB28" s="147">
        <f>AA28+Z28</f>
        <v>-242</v>
      </c>
      <c r="AC28" s="147">
        <f>AA28/D28</f>
        <v>1782.5</v>
      </c>
      <c r="AD28" s="167">
        <f>Y28/D28+AC28</f>
        <v>4184</v>
      </c>
      <c r="AE28" s="167">
        <f t="shared" si="3"/>
        <v>242</v>
      </c>
      <c r="AF28" s="167"/>
      <c r="AG28" s="89"/>
      <c r="AH28" s="9"/>
    </row>
    <row r="29" spans="1:34" ht="12.75">
      <c r="A29" s="74" t="s">
        <v>51</v>
      </c>
      <c r="B29" s="43" t="s">
        <v>53</v>
      </c>
      <c r="C29" s="43" t="s">
        <v>111</v>
      </c>
      <c r="D29" s="44">
        <v>2</v>
      </c>
      <c r="E29" s="45">
        <f t="shared" si="4"/>
        <v>4100</v>
      </c>
      <c r="F29" s="45">
        <f t="shared" si="5"/>
        <v>205</v>
      </c>
      <c r="G29" s="86">
        <f>$G$4</f>
        <v>350</v>
      </c>
      <c r="H29" s="88">
        <f>$G29*10/100</f>
        <v>35</v>
      </c>
      <c r="I29" s="46">
        <f t="shared" si="6"/>
        <v>9380</v>
      </c>
      <c r="J29" s="152">
        <f t="shared" si="7"/>
        <v>9380</v>
      </c>
      <c r="K29" s="152">
        <f>K4*D29</f>
        <v>8610</v>
      </c>
      <c r="L29" s="77">
        <v>8400</v>
      </c>
      <c r="M29" s="47" t="s">
        <v>95</v>
      </c>
      <c r="N29" s="78">
        <f t="shared" si="8"/>
        <v>-980</v>
      </c>
      <c r="O29" s="130">
        <f t="shared" si="2"/>
        <v>-210</v>
      </c>
      <c r="P29" s="96">
        <f t="shared" si="9"/>
        <v>8305</v>
      </c>
      <c r="Q29" s="51" t="s">
        <v>172</v>
      </c>
      <c r="R29" s="197">
        <f t="shared" si="0"/>
        <v>-1075</v>
      </c>
      <c r="S29" s="140" t="s">
        <v>31</v>
      </c>
      <c r="T29" s="50" t="s">
        <v>24</v>
      </c>
      <c r="U29" s="51" t="s">
        <v>122</v>
      </c>
      <c r="V29" s="157" t="s">
        <v>241</v>
      </c>
      <c r="W29" s="157" t="s">
        <v>172</v>
      </c>
      <c r="X29" s="162">
        <v>0</v>
      </c>
      <c r="Y29" s="162">
        <f t="shared" si="10"/>
        <v>8305</v>
      </c>
      <c r="Z29" s="147">
        <f t="shared" si="11"/>
        <v>-305</v>
      </c>
      <c r="AA29" s="147"/>
      <c r="AB29" s="147"/>
      <c r="AC29" s="147"/>
      <c r="AD29" s="167">
        <f t="shared" si="12"/>
        <v>4152.5</v>
      </c>
      <c r="AE29" s="167">
        <f t="shared" si="3"/>
        <v>1075</v>
      </c>
      <c r="AF29" s="167"/>
      <c r="AG29" s="89"/>
      <c r="AH29" s="9"/>
    </row>
    <row r="30" spans="1:34" ht="12.75">
      <c r="A30" s="107" t="s">
        <v>98</v>
      </c>
      <c r="B30" s="43" t="s">
        <v>52</v>
      </c>
      <c r="C30" s="43" t="s">
        <v>108</v>
      </c>
      <c r="D30" s="44">
        <v>4</v>
      </c>
      <c r="E30" s="45">
        <f t="shared" si="4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6"/>
        <v>23140</v>
      </c>
      <c r="J30" s="152">
        <f t="shared" si="7"/>
        <v>23140</v>
      </c>
      <c r="K30" s="152">
        <f>K4*D30</f>
        <v>17220</v>
      </c>
      <c r="L30" s="77">
        <v>16600</v>
      </c>
      <c r="M30" s="47" t="s">
        <v>95</v>
      </c>
      <c r="N30" s="78">
        <f t="shared" si="8"/>
        <v>-6540</v>
      </c>
      <c r="O30" s="130">
        <f t="shared" si="2"/>
        <v>-620</v>
      </c>
      <c r="P30" s="96">
        <f t="shared" si="9"/>
        <v>16406</v>
      </c>
      <c r="Q30" s="51" t="s">
        <v>173</v>
      </c>
      <c r="R30" s="197">
        <f t="shared" si="0"/>
        <v>-6734</v>
      </c>
      <c r="S30" s="140" t="s">
        <v>31</v>
      </c>
      <c r="T30" s="50" t="s">
        <v>24</v>
      </c>
      <c r="U30" s="51" t="s">
        <v>121</v>
      </c>
      <c r="V30" s="157" t="s">
        <v>242</v>
      </c>
      <c r="W30" s="157" t="s">
        <v>173</v>
      </c>
      <c r="X30" s="162">
        <v>0</v>
      </c>
      <c r="Y30" s="162">
        <f t="shared" si="10"/>
        <v>16406</v>
      </c>
      <c r="Z30" s="147">
        <f t="shared" si="11"/>
        <v>-814</v>
      </c>
      <c r="AA30" s="147"/>
      <c r="AB30" s="147"/>
      <c r="AC30" s="147"/>
      <c r="AD30" s="167">
        <f t="shared" si="12"/>
        <v>4101.5</v>
      </c>
      <c r="AE30" s="167">
        <f t="shared" si="3"/>
        <v>6734</v>
      </c>
      <c r="AF30" s="167"/>
      <c r="AG30" s="89"/>
      <c r="AH30" s="9"/>
    </row>
    <row r="31" spans="1:34" ht="12.75">
      <c r="A31" s="74" t="s">
        <v>55</v>
      </c>
      <c r="B31" s="43" t="s">
        <v>54</v>
      </c>
      <c r="C31" s="43" t="s">
        <v>112</v>
      </c>
      <c r="D31" s="44">
        <v>18</v>
      </c>
      <c r="E31" s="45">
        <f t="shared" si="4"/>
        <v>4100</v>
      </c>
      <c r="F31" s="45">
        <f t="shared" si="5"/>
        <v>205</v>
      </c>
      <c r="G31" s="86">
        <f>$G$4</f>
        <v>350</v>
      </c>
      <c r="H31" s="88">
        <f>$G31*10/100</f>
        <v>35</v>
      </c>
      <c r="I31" s="46">
        <f t="shared" si="6"/>
        <v>84420</v>
      </c>
      <c r="J31" s="152">
        <f t="shared" si="7"/>
        <v>84420</v>
      </c>
      <c r="K31" s="152">
        <f>K4*D31</f>
        <v>77490</v>
      </c>
      <c r="L31" s="77">
        <v>75000</v>
      </c>
      <c r="M31" s="47" t="s">
        <v>95</v>
      </c>
      <c r="N31" s="78">
        <f t="shared" si="8"/>
        <v>-9420</v>
      </c>
      <c r="O31" s="130">
        <f t="shared" si="2"/>
        <v>-2490</v>
      </c>
      <c r="P31" s="96">
        <f t="shared" si="9"/>
        <v>73140</v>
      </c>
      <c r="Q31" s="51" t="s">
        <v>321</v>
      </c>
      <c r="R31" s="197">
        <f t="shared" si="0"/>
        <v>-11280</v>
      </c>
      <c r="S31" s="50"/>
      <c r="T31" s="50"/>
      <c r="U31" s="51" t="s">
        <v>122</v>
      </c>
      <c r="V31" s="157" t="s">
        <v>239</v>
      </c>
      <c r="W31" s="157" t="s">
        <v>174</v>
      </c>
      <c r="X31" s="162">
        <v>0</v>
      </c>
      <c r="Y31" s="162">
        <f t="shared" si="10"/>
        <v>73140</v>
      </c>
      <c r="Z31" s="147">
        <f t="shared" si="11"/>
        <v>-4350</v>
      </c>
      <c r="AA31" s="147"/>
      <c r="AB31" s="147"/>
      <c r="AC31" s="147"/>
      <c r="AD31" s="167">
        <f t="shared" si="12"/>
        <v>4063.3333333333335</v>
      </c>
      <c r="AE31" s="167">
        <f t="shared" si="3"/>
        <v>11280</v>
      </c>
      <c r="AF31" s="167"/>
      <c r="AG31" s="89"/>
      <c r="AH31" s="9"/>
    </row>
    <row r="32" spans="1:93" s="142" customFormat="1" ht="12.75">
      <c r="A32" s="109" t="s">
        <v>37</v>
      </c>
      <c r="B32" s="108"/>
      <c r="C32" s="108" t="s">
        <v>127</v>
      </c>
      <c r="D32" s="44">
        <v>6</v>
      </c>
      <c r="E32" s="45">
        <f t="shared" si="4"/>
        <v>4100</v>
      </c>
      <c r="F32" s="45">
        <f t="shared" si="5"/>
        <v>205</v>
      </c>
      <c r="G32" s="86">
        <f>$G$4</f>
        <v>350</v>
      </c>
      <c r="H32" s="88">
        <f>$G32*10/100</f>
        <v>35</v>
      </c>
      <c r="I32" s="46">
        <f t="shared" si="6"/>
        <v>28140</v>
      </c>
      <c r="J32" s="152">
        <f t="shared" si="7"/>
        <v>28140</v>
      </c>
      <c r="K32" s="152">
        <f>K4*D32</f>
        <v>25830</v>
      </c>
      <c r="L32" s="195" t="s">
        <v>233</v>
      </c>
      <c r="M32" s="47" t="s">
        <v>95</v>
      </c>
      <c r="N32" s="78">
        <f t="shared" si="8"/>
        <v>17460</v>
      </c>
      <c r="O32" s="130">
        <f t="shared" si="2"/>
        <v>19770</v>
      </c>
      <c r="P32" s="96">
        <f t="shared" si="9"/>
        <v>45640</v>
      </c>
      <c r="Q32" s="89" t="s">
        <v>233</v>
      </c>
      <c r="R32" s="197">
        <f t="shared" si="0"/>
        <v>17500</v>
      </c>
      <c r="S32" s="141"/>
      <c r="T32" s="141" t="s">
        <v>24</v>
      </c>
      <c r="U32" s="49" t="s">
        <v>123</v>
      </c>
      <c r="V32" s="157" t="s">
        <v>239</v>
      </c>
      <c r="W32" s="157" t="s">
        <v>233</v>
      </c>
      <c r="X32" s="162">
        <v>0</v>
      </c>
      <c r="Y32" s="162">
        <f t="shared" si="10"/>
        <v>45640</v>
      </c>
      <c r="Z32" s="147">
        <f t="shared" si="11"/>
        <v>19810</v>
      </c>
      <c r="AA32" s="147"/>
      <c r="AB32" s="147"/>
      <c r="AC32" s="147"/>
      <c r="AD32" s="180">
        <f t="shared" si="12"/>
        <v>7606.666666666667</v>
      </c>
      <c r="AE32" s="180">
        <f t="shared" si="3"/>
        <v>-17500</v>
      </c>
      <c r="AF32" s="180"/>
      <c r="AG32" s="89"/>
      <c r="AH32" s="9"/>
      <c r="AI32" s="15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</row>
    <row r="33" spans="1:35" ht="12.75">
      <c r="A33" s="101" t="s">
        <v>18</v>
      </c>
      <c r="B33" s="63"/>
      <c r="C33" s="64"/>
      <c r="D33" s="65"/>
      <c r="E33" s="65"/>
      <c r="F33" s="65"/>
      <c r="G33" s="65"/>
      <c r="H33" s="66"/>
      <c r="I33" s="67"/>
      <c r="J33" s="67"/>
      <c r="K33" s="67"/>
      <c r="L33" s="68"/>
      <c r="M33" s="68"/>
      <c r="N33" s="67"/>
      <c r="O33" s="67">
        <f t="shared" si="2"/>
        <v>0</v>
      </c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67"/>
      <c r="AA33" s="67"/>
      <c r="AB33" s="67"/>
      <c r="AC33" s="67"/>
      <c r="AD33" s="104"/>
      <c r="AE33" s="104"/>
      <c r="AF33" s="104"/>
      <c r="AG33" s="72"/>
      <c r="AH33" s="10"/>
      <c r="AI33" s="10"/>
    </row>
    <row r="34" spans="1:35" ht="12.75">
      <c r="A34" s="74" t="s">
        <v>83</v>
      </c>
      <c r="B34" s="43" t="s">
        <v>72</v>
      </c>
      <c r="C34" s="59" t="s">
        <v>84</v>
      </c>
      <c r="D34" s="44">
        <v>1</v>
      </c>
      <c r="E34" s="212">
        <f>$E$4-(480)</f>
        <v>3620</v>
      </c>
      <c r="F34" s="212">
        <v>250</v>
      </c>
      <c r="G34" s="86"/>
      <c r="H34" s="88"/>
      <c r="I34" s="46">
        <f aca="true" t="shared" si="13" ref="I34:I42">D34*(E34+F34+G34+H34)</f>
        <v>3870</v>
      </c>
      <c r="J34" s="152">
        <f>I34</f>
        <v>3870</v>
      </c>
      <c r="K34" s="152">
        <f>K6*D34</f>
        <v>4305</v>
      </c>
      <c r="L34" s="46">
        <f>3560+50</f>
        <v>3610</v>
      </c>
      <c r="M34" s="47" t="s">
        <v>96</v>
      </c>
      <c r="N34" s="78">
        <f aca="true" t="shared" si="14" ref="N34:N40">-I34+L34</f>
        <v>-260</v>
      </c>
      <c r="O34" s="130">
        <f t="shared" si="2"/>
        <v>-695</v>
      </c>
      <c r="P34" s="130">
        <f>8+435+532+AA34</f>
        <v>1904</v>
      </c>
      <c r="Q34" s="89" t="s">
        <v>255</v>
      </c>
      <c r="R34" s="197">
        <f t="shared" si="0"/>
        <v>-1966</v>
      </c>
      <c r="S34" s="50"/>
      <c r="T34" s="50" t="s">
        <v>92</v>
      </c>
      <c r="U34" s="89" t="s">
        <v>41</v>
      </c>
      <c r="V34" s="157" t="s">
        <v>230</v>
      </c>
      <c r="W34" s="157" t="s">
        <v>333</v>
      </c>
      <c r="X34" s="162">
        <v>2</v>
      </c>
      <c r="Y34" s="162">
        <f>V34+W34+X34</f>
        <v>2004</v>
      </c>
      <c r="Z34" s="91"/>
      <c r="AA34" s="91">
        <f>1344+560+225-1200</f>
        <v>929</v>
      </c>
      <c r="AB34" s="173">
        <f>AC34-AD34+500</f>
        <v>-575</v>
      </c>
      <c r="AC34" s="173">
        <f>AA34/D34</f>
        <v>929</v>
      </c>
      <c r="AD34" s="96">
        <f>Y34/D34</f>
        <v>2004</v>
      </c>
      <c r="AE34" s="222">
        <f>J34-(AD34+AC34+500)*D34</f>
        <v>437</v>
      </c>
      <c r="AF34" s="96"/>
      <c r="AG34" s="177" t="s">
        <v>270</v>
      </c>
      <c r="AH34" s="207">
        <f>AD34+AG34+550</f>
        <v>3069</v>
      </c>
      <c r="AI34" s="173">
        <f>AH34-4305</f>
        <v>-1236</v>
      </c>
    </row>
    <row r="35" spans="1:40" ht="12.75">
      <c r="A35" s="74" t="s">
        <v>3</v>
      </c>
      <c r="B35" s="43" t="s">
        <v>56</v>
      </c>
      <c r="C35" s="59" t="s">
        <v>7</v>
      </c>
      <c r="D35" s="60">
        <v>2</v>
      </c>
      <c r="E35" s="45">
        <f>$E$4</f>
        <v>4100</v>
      </c>
      <c r="F35" s="212">
        <v>250</v>
      </c>
      <c r="G35" s="86">
        <f>$G$4</f>
        <v>350</v>
      </c>
      <c r="H35" s="88">
        <f>$G35*10/100</f>
        <v>35</v>
      </c>
      <c r="I35" s="46">
        <f>D35*(E35+F35+G35+H35)</f>
        <v>9470</v>
      </c>
      <c r="J35" s="152">
        <f>I35-480*D35</f>
        <v>8510</v>
      </c>
      <c r="K35" s="152">
        <f>(E35+F35-480)*D35</f>
        <v>7740</v>
      </c>
      <c r="L35" s="46">
        <v>7420</v>
      </c>
      <c r="M35" s="47" t="s">
        <v>96</v>
      </c>
      <c r="N35" s="78">
        <f>-I35+L35</f>
        <v>-2050</v>
      </c>
      <c r="O35" s="130">
        <f t="shared" si="2"/>
        <v>-320</v>
      </c>
      <c r="P35" s="130">
        <f>7420-206</f>
        <v>7214</v>
      </c>
      <c r="Q35" s="89" t="s">
        <v>256</v>
      </c>
      <c r="R35" s="197">
        <f>-I35+P35</f>
        <v>-2256</v>
      </c>
      <c r="S35" s="50" t="s">
        <v>31</v>
      </c>
      <c r="T35" s="50" t="s">
        <v>107</v>
      </c>
      <c r="U35" s="89" t="s">
        <v>281</v>
      </c>
      <c r="V35" s="157" t="s">
        <v>248</v>
      </c>
      <c r="W35" s="157" t="s">
        <v>334</v>
      </c>
      <c r="X35" s="162">
        <v>4</v>
      </c>
      <c r="Y35" s="88">
        <f>V35+W35+X35</f>
        <v>4004</v>
      </c>
      <c r="Z35" s="91"/>
      <c r="AA35" s="91">
        <v>1076</v>
      </c>
      <c r="AB35" s="173">
        <f>AC35-AD35+500</f>
        <v>-964</v>
      </c>
      <c r="AC35" s="173">
        <f>AA35/D35</f>
        <v>538</v>
      </c>
      <c r="AD35" s="96">
        <f>Y35/D35</f>
        <v>2002</v>
      </c>
      <c r="AE35" s="222">
        <f aca="true" t="shared" si="15" ref="AE35:AE41">J35-(AD35+AC35+500)*D35</f>
        <v>2430</v>
      </c>
      <c r="AF35" s="96"/>
      <c r="AG35" s="177" t="s">
        <v>280</v>
      </c>
      <c r="AH35" s="207">
        <f>AD35+AG35+550</f>
        <v>3202</v>
      </c>
      <c r="AI35" s="173">
        <f>AH35-4305</f>
        <v>-1103</v>
      </c>
      <c r="AK35" s="88"/>
      <c r="AL35" s="89"/>
      <c r="AM35" s="219"/>
      <c r="AN35" s="91"/>
    </row>
    <row r="36" spans="1:35" s="15" customFormat="1" ht="12.75">
      <c r="A36" s="99" t="s">
        <v>355</v>
      </c>
      <c r="B36" s="83" t="s">
        <v>72</v>
      </c>
      <c r="C36" s="97" t="s">
        <v>84</v>
      </c>
      <c r="D36" s="84">
        <v>1</v>
      </c>
      <c r="E36" s="205"/>
      <c r="F36" s="205"/>
      <c r="G36" s="86">
        <f>$G$4</f>
        <v>350</v>
      </c>
      <c r="H36" s="88">
        <f>$G36*10/100</f>
        <v>35</v>
      </c>
      <c r="I36" s="87">
        <f>D36*(E36+F36+G36+H36)</f>
        <v>385</v>
      </c>
      <c r="J36" s="87">
        <f>I36</f>
        <v>385</v>
      </c>
      <c r="K36" s="87"/>
      <c r="L36" s="87"/>
      <c r="M36" s="88"/>
      <c r="N36" s="130"/>
      <c r="O36" s="130"/>
      <c r="P36" s="130"/>
      <c r="Q36" s="89"/>
      <c r="R36" s="130"/>
      <c r="S36" s="90"/>
      <c r="T36" s="90"/>
      <c r="U36" s="89"/>
      <c r="V36" s="89"/>
      <c r="W36" s="89"/>
      <c r="X36" s="88"/>
      <c r="Y36" s="88"/>
      <c r="Z36" s="91"/>
      <c r="AA36" s="91"/>
      <c r="AB36" s="91"/>
      <c r="AC36" s="91"/>
      <c r="AD36" s="88"/>
      <c r="AE36" s="88"/>
      <c r="AF36" s="88"/>
      <c r="AG36" s="89" t="s">
        <v>270</v>
      </c>
      <c r="AH36" s="219">
        <f>AD36+AG36+550</f>
        <v>1065</v>
      </c>
      <c r="AI36" s="91">
        <f>AH36-4305</f>
        <v>-3240</v>
      </c>
    </row>
    <row r="37" spans="1:35" ht="12.75">
      <c r="A37" s="74" t="s">
        <v>91</v>
      </c>
      <c r="B37" s="43" t="s">
        <v>90</v>
      </c>
      <c r="C37" s="43" t="s">
        <v>19</v>
      </c>
      <c r="D37" s="44">
        <v>1</v>
      </c>
      <c r="E37" s="45">
        <f>$E$4</f>
        <v>4100</v>
      </c>
      <c r="F37" s="212">
        <v>250</v>
      </c>
      <c r="G37" s="86">
        <f>$G$4</f>
        <v>350</v>
      </c>
      <c r="H37" s="88">
        <f>$G37*10/100</f>
        <v>35</v>
      </c>
      <c r="I37" s="46">
        <f t="shared" si="13"/>
        <v>4735</v>
      </c>
      <c r="J37" s="152">
        <f>I37-480*D37</f>
        <v>4255</v>
      </c>
      <c r="K37" s="152">
        <f>K8*D37</f>
        <v>4305</v>
      </c>
      <c r="L37" s="46">
        <v>4110</v>
      </c>
      <c r="M37" s="47" t="s">
        <v>95</v>
      </c>
      <c r="N37" s="78">
        <f t="shared" si="14"/>
        <v>-625</v>
      </c>
      <c r="O37" s="130">
        <f>-K37+L37-480*D37</f>
        <v>-675</v>
      </c>
      <c r="P37" s="88">
        <f>AA37+4110</f>
        <v>5375</v>
      </c>
      <c r="Q37" s="89" t="s">
        <v>257</v>
      </c>
      <c r="R37" s="197">
        <f t="shared" si="0"/>
        <v>640</v>
      </c>
      <c r="S37" s="141"/>
      <c r="T37" s="141" t="s">
        <v>95</v>
      </c>
      <c r="U37" s="49"/>
      <c r="V37" s="157"/>
      <c r="W37" s="157" t="s">
        <v>335</v>
      </c>
      <c r="X37" s="162">
        <v>2</v>
      </c>
      <c r="Y37" s="162">
        <f>V37+W37+X37</f>
        <v>2012</v>
      </c>
      <c r="Z37" s="91"/>
      <c r="AA37" s="91">
        <f>1800+675-10-1200</f>
        <v>1265</v>
      </c>
      <c r="AB37" s="173">
        <f>AC37-AD37+500</f>
        <v>-247</v>
      </c>
      <c r="AC37" s="173">
        <f>AA37/D37</f>
        <v>1265</v>
      </c>
      <c r="AD37" s="96">
        <f>Y37/D37</f>
        <v>2012</v>
      </c>
      <c r="AE37" s="222">
        <f t="shared" si="15"/>
        <v>478</v>
      </c>
      <c r="AF37" s="96"/>
      <c r="AG37" s="177" t="s">
        <v>270</v>
      </c>
      <c r="AH37" s="207">
        <f>AD37+AG37+550</f>
        <v>3077</v>
      </c>
      <c r="AI37" s="173">
        <f>AH37-4305</f>
        <v>-1228</v>
      </c>
    </row>
    <row r="38" spans="1:35" ht="12.75">
      <c r="A38" s="74" t="s">
        <v>155</v>
      </c>
      <c r="B38" s="108" t="s">
        <v>81</v>
      </c>
      <c r="C38" s="59" t="s">
        <v>80</v>
      </c>
      <c r="D38" s="44">
        <v>2</v>
      </c>
      <c r="E38" s="45">
        <f>$E$4</f>
        <v>4100</v>
      </c>
      <c r="F38" s="212">
        <v>250</v>
      </c>
      <c r="G38" s="86"/>
      <c r="H38" s="85"/>
      <c r="I38" s="46">
        <f t="shared" si="13"/>
        <v>8700</v>
      </c>
      <c r="J38" s="152">
        <f>I38-480*D38</f>
        <v>7740</v>
      </c>
      <c r="K38" s="152">
        <f>4020*D38</f>
        <v>8040</v>
      </c>
      <c r="L38" s="77">
        <f>3250*2</f>
        <v>6500</v>
      </c>
      <c r="M38" s="47" t="s">
        <v>96</v>
      </c>
      <c r="N38" s="78">
        <f t="shared" si="14"/>
        <v>-2200</v>
      </c>
      <c r="O38" s="130">
        <f>-K38+L38-480*D38</f>
        <v>-2500</v>
      </c>
      <c r="P38" s="88">
        <f>AA38+6460</f>
        <v>7395</v>
      </c>
      <c r="Q38" s="51" t="s">
        <v>256</v>
      </c>
      <c r="R38" s="172">
        <f t="shared" si="0"/>
        <v>-1305</v>
      </c>
      <c r="S38" s="140" t="s">
        <v>31</v>
      </c>
      <c r="T38" s="50" t="s">
        <v>156</v>
      </c>
      <c r="U38" s="51"/>
      <c r="V38" s="157"/>
      <c r="W38" s="157" t="s">
        <v>334</v>
      </c>
      <c r="X38" s="162">
        <v>4</v>
      </c>
      <c r="Y38" s="162">
        <f>V38+W38+X38</f>
        <v>4004</v>
      </c>
      <c r="Z38" s="91"/>
      <c r="AA38" s="91">
        <f>3335-2400</f>
        <v>935</v>
      </c>
      <c r="AB38" s="173">
        <f>AC38-AD38+500</f>
        <v>-1034.5</v>
      </c>
      <c r="AC38" s="173">
        <f>AA38/D38</f>
        <v>467.5</v>
      </c>
      <c r="AD38" s="96">
        <f>Y38/D38</f>
        <v>2002</v>
      </c>
      <c r="AE38" s="222">
        <f t="shared" si="15"/>
        <v>1801</v>
      </c>
      <c r="AF38" s="96"/>
      <c r="AG38" s="177" t="s">
        <v>280</v>
      </c>
      <c r="AH38" s="207">
        <f>AD38+AG38+550</f>
        <v>3202</v>
      </c>
      <c r="AI38" s="173">
        <f>AH38-4305</f>
        <v>-1103</v>
      </c>
    </row>
    <row r="39" spans="1:33" s="15" customFormat="1" ht="12.75">
      <c r="A39" s="99" t="s">
        <v>154</v>
      </c>
      <c r="B39" s="127" t="s">
        <v>81</v>
      </c>
      <c r="C39" s="97" t="s">
        <v>80</v>
      </c>
      <c r="D39" s="84">
        <v>2</v>
      </c>
      <c r="E39" s="220">
        <v>0</v>
      </c>
      <c r="F39" s="85">
        <v>0</v>
      </c>
      <c r="G39" s="86">
        <v>0</v>
      </c>
      <c r="H39" s="88">
        <v>0</v>
      </c>
      <c r="I39" s="87">
        <f t="shared" si="13"/>
        <v>0</v>
      </c>
      <c r="J39" s="87"/>
      <c r="K39" s="87"/>
      <c r="L39" s="87">
        <f>310*2</f>
        <v>620</v>
      </c>
      <c r="M39" s="88" t="s">
        <v>96</v>
      </c>
      <c r="N39" s="78">
        <f t="shared" si="14"/>
        <v>620</v>
      </c>
      <c r="O39" s="130"/>
      <c r="P39" s="88">
        <v>605</v>
      </c>
      <c r="Q39" s="89"/>
      <c r="R39" s="130">
        <f t="shared" si="0"/>
        <v>605</v>
      </c>
      <c r="S39" s="90" t="s">
        <v>31</v>
      </c>
      <c r="T39" s="90" t="s">
        <v>156</v>
      </c>
      <c r="U39" s="89"/>
      <c r="V39" s="89"/>
      <c r="W39" s="89"/>
      <c r="X39" s="88"/>
      <c r="Y39" s="88"/>
      <c r="Z39" s="91"/>
      <c r="AA39" s="91"/>
      <c r="AB39" s="91"/>
      <c r="AC39" s="91"/>
      <c r="AD39" s="88"/>
      <c r="AE39" s="88"/>
      <c r="AF39" s="88"/>
      <c r="AG39" s="89"/>
    </row>
    <row r="40" spans="1:35" ht="12.75">
      <c r="A40" s="74" t="s">
        <v>82</v>
      </c>
      <c r="B40" s="108" t="s">
        <v>81</v>
      </c>
      <c r="C40" s="59" t="s">
        <v>80</v>
      </c>
      <c r="D40" s="44">
        <v>2</v>
      </c>
      <c r="E40" s="45">
        <f>$E$4</f>
        <v>4100</v>
      </c>
      <c r="F40" s="212">
        <v>250</v>
      </c>
      <c r="G40" s="86"/>
      <c r="H40" s="88"/>
      <c r="I40" s="46">
        <f t="shared" si="13"/>
        <v>8700</v>
      </c>
      <c r="J40" s="152">
        <f>I40-480*D40</f>
        <v>7740</v>
      </c>
      <c r="K40" s="152">
        <f>4020*D40</f>
        <v>8040</v>
      </c>
      <c r="L40" s="77">
        <f>3560*2</f>
        <v>7120</v>
      </c>
      <c r="M40" s="47" t="s">
        <v>96</v>
      </c>
      <c r="N40" s="78">
        <f t="shared" si="14"/>
        <v>-1580</v>
      </c>
      <c r="O40" s="130">
        <f>-K40+L40-480*D40</f>
        <v>-1880</v>
      </c>
      <c r="P40" s="88">
        <f>AA40+13164</f>
        <v>13759</v>
      </c>
      <c r="Q40" s="51" t="s">
        <v>326</v>
      </c>
      <c r="R40" s="197">
        <f t="shared" si="0"/>
        <v>5059</v>
      </c>
      <c r="S40" s="140" t="s">
        <v>31</v>
      </c>
      <c r="T40" s="50" t="s">
        <v>156</v>
      </c>
      <c r="U40" s="51"/>
      <c r="V40" s="157"/>
      <c r="W40" s="157" t="s">
        <v>334</v>
      </c>
      <c r="X40" s="162">
        <v>4</v>
      </c>
      <c r="Y40" s="162">
        <f>V40+W40+X40</f>
        <v>4004</v>
      </c>
      <c r="Z40" s="91"/>
      <c r="AA40" s="91">
        <f>1700+1375-80-2400</f>
        <v>595</v>
      </c>
      <c r="AB40" s="173">
        <f>AC40-AD40+500</f>
        <v>-1204.5</v>
      </c>
      <c r="AC40" s="173">
        <f>AA40/D40</f>
        <v>297.5</v>
      </c>
      <c r="AD40" s="96">
        <f>Y40/D40</f>
        <v>2002</v>
      </c>
      <c r="AE40" s="222">
        <f t="shared" si="15"/>
        <v>2141</v>
      </c>
      <c r="AF40" s="96"/>
      <c r="AG40" s="177" t="s">
        <v>280</v>
      </c>
      <c r="AH40" s="207">
        <f>AD40+AG40+550</f>
        <v>3202</v>
      </c>
      <c r="AI40" s="173">
        <f>AH40-4305</f>
        <v>-1103</v>
      </c>
    </row>
    <row r="41" spans="1:35" ht="12.75">
      <c r="A41" s="109" t="s">
        <v>352</v>
      </c>
      <c r="B41" s="108" t="s">
        <v>81</v>
      </c>
      <c r="C41" s="59" t="s">
        <v>80</v>
      </c>
      <c r="D41" s="110">
        <v>3</v>
      </c>
      <c r="E41" s="45">
        <f>$E$4</f>
        <v>4100</v>
      </c>
      <c r="F41" s="212">
        <v>250</v>
      </c>
      <c r="G41" s="86">
        <f>$G$4</f>
        <v>350</v>
      </c>
      <c r="H41" s="88">
        <f>$G41*10/100</f>
        <v>35</v>
      </c>
      <c r="I41" s="46">
        <f>D41*(E41+F41+G41+H41)</f>
        <v>14205</v>
      </c>
      <c r="J41" s="152">
        <f>I41-480*D41</f>
        <v>12765</v>
      </c>
      <c r="K41" s="152">
        <f>4020*D41</f>
        <v>12060</v>
      </c>
      <c r="L41" s="111">
        <f>3560*3</f>
        <v>10680</v>
      </c>
      <c r="M41" s="47" t="s">
        <v>96</v>
      </c>
      <c r="N41" s="78">
        <f>-I41+L41</f>
        <v>-3525</v>
      </c>
      <c r="O41" s="130">
        <f>-K41+L41-480*D41</f>
        <v>-2820</v>
      </c>
      <c r="P41" s="88">
        <f>AA41+10658</f>
        <v>10658</v>
      </c>
      <c r="Q41" s="51" t="s">
        <v>258</v>
      </c>
      <c r="R41" s="197">
        <f>-I41+P41</f>
        <v>-3547</v>
      </c>
      <c r="S41" s="140" t="s">
        <v>31</v>
      </c>
      <c r="T41" s="113" t="s">
        <v>156</v>
      </c>
      <c r="U41" s="112"/>
      <c r="V41" s="158" t="s">
        <v>248</v>
      </c>
      <c r="W41" s="158" t="s">
        <v>336</v>
      </c>
      <c r="X41" s="164">
        <v>6</v>
      </c>
      <c r="Y41" s="162">
        <f>V41+W41+X41</f>
        <v>5706</v>
      </c>
      <c r="Z41" s="114"/>
      <c r="AA41" s="208">
        <f>3300-3300</f>
        <v>0</v>
      </c>
      <c r="AB41" s="173">
        <f>AC41-AD41+500</f>
        <v>-1402</v>
      </c>
      <c r="AC41" s="173">
        <f>AA41/D41</f>
        <v>0</v>
      </c>
      <c r="AD41" s="96">
        <f>Y41/D41</f>
        <v>1902</v>
      </c>
      <c r="AE41" s="222">
        <f t="shared" si="15"/>
        <v>5559</v>
      </c>
      <c r="AF41" s="96"/>
      <c r="AG41" s="178" t="s">
        <v>270</v>
      </c>
      <c r="AH41" s="207">
        <f>AD41+AG41+550</f>
        <v>2967</v>
      </c>
      <c r="AI41" s="173">
        <f>AH41-4305</f>
        <v>-1338</v>
      </c>
    </row>
    <row r="42" spans="1:35" s="15" customFormat="1" ht="12.75">
      <c r="A42" s="215" t="s">
        <v>354</v>
      </c>
      <c r="B42" s="127" t="s">
        <v>81</v>
      </c>
      <c r="C42" s="97" t="s">
        <v>80</v>
      </c>
      <c r="D42" s="216">
        <v>4</v>
      </c>
      <c r="E42" s="205"/>
      <c r="F42" s="85"/>
      <c r="G42" s="86">
        <f>$G$4</f>
        <v>350</v>
      </c>
      <c r="H42" s="88">
        <f>$G42*10/100</f>
        <v>35</v>
      </c>
      <c r="I42" s="87">
        <f t="shared" si="13"/>
        <v>1540</v>
      </c>
      <c r="J42" s="87"/>
      <c r="K42" s="87"/>
      <c r="L42" s="217"/>
      <c r="M42" s="88"/>
      <c r="N42" s="130"/>
      <c r="O42" s="130"/>
      <c r="P42" s="88"/>
      <c r="Q42" s="89"/>
      <c r="R42" s="130"/>
      <c r="S42" s="90"/>
      <c r="T42" s="113"/>
      <c r="U42" s="112"/>
      <c r="V42" s="112"/>
      <c r="W42" s="112"/>
      <c r="X42" s="218"/>
      <c r="Y42" s="88"/>
      <c r="Z42" s="114"/>
      <c r="AA42" s="114"/>
      <c r="AB42" s="91"/>
      <c r="AC42" s="91"/>
      <c r="AD42" s="88"/>
      <c r="AE42" s="88"/>
      <c r="AF42" s="88"/>
      <c r="AG42" s="112" t="s">
        <v>270</v>
      </c>
      <c r="AH42" s="219">
        <f>AD42+AG42+550</f>
        <v>1065</v>
      </c>
      <c r="AI42" s="91">
        <f>AH42-4305</f>
        <v>-3240</v>
      </c>
    </row>
    <row r="43" spans="1:35" ht="12.75">
      <c r="A43" s="101" t="s">
        <v>116</v>
      </c>
      <c r="B43" s="63"/>
      <c r="C43" s="64"/>
      <c r="D43" s="65"/>
      <c r="E43" s="65"/>
      <c r="F43" s="102"/>
      <c r="G43" s="65"/>
      <c r="H43" s="102"/>
      <c r="I43" s="67"/>
      <c r="J43" s="67"/>
      <c r="K43" s="67"/>
      <c r="L43" s="67"/>
      <c r="M43" s="68"/>
      <c r="N43" s="67"/>
      <c r="O43" s="67"/>
      <c r="P43" s="103"/>
      <c r="Q43" s="67"/>
      <c r="R43" s="103"/>
      <c r="S43" s="71"/>
      <c r="T43" s="71"/>
      <c r="U43" s="72"/>
      <c r="V43" s="72"/>
      <c r="W43" s="72"/>
      <c r="X43" s="70"/>
      <c r="Y43" s="70"/>
      <c r="Z43" s="67"/>
      <c r="AA43" s="67"/>
      <c r="AB43" s="67"/>
      <c r="AC43" s="67"/>
      <c r="AD43" s="104"/>
      <c r="AE43" s="104">
        <f t="shared" si="3"/>
        <v>0</v>
      </c>
      <c r="AF43" s="104"/>
      <c r="AG43" s="72"/>
      <c r="AH43" s="10"/>
      <c r="AI43" s="10"/>
    </row>
    <row r="44" spans="1:34" ht="12.75">
      <c r="A44" s="99" t="s">
        <v>117</v>
      </c>
      <c r="B44" s="83"/>
      <c r="C44" s="83"/>
      <c r="D44" s="44">
        <v>1</v>
      </c>
      <c r="E44" s="45">
        <v>3620</v>
      </c>
      <c r="F44" s="45">
        <f>$E44*0.5/100</f>
        <v>18.1</v>
      </c>
      <c r="G44" s="86">
        <f>$G$4</f>
        <v>350</v>
      </c>
      <c r="H44" s="88">
        <f>$G44*10/100</f>
        <v>35</v>
      </c>
      <c r="I44" s="46">
        <f>D44*(E44+F44+G44+H44)</f>
        <v>4023.1</v>
      </c>
      <c r="J44" s="87"/>
      <c r="K44" s="87"/>
      <c r="L44" s="77">
        <v>0</v>
      </c>
      <c r="M44" s="47" t="s">
        <v>93</v>
      </c>
      <c r="N44" s="78">
        <f>-I44+L44</f>
        <v>-4023.1</v>
      </c>
      <c r="O44" s="78"/>
      <c r="P44" s="88"/>
      <c r="Q44" s="89"/>
      <c r="R44" s="79">
        <f t="shared" si="0"/>
        <v>-4023.1</v>
      </c>
      <c r="S44" s="90"/>
      <c r="T44" s="90"/>
      <c r="U44" s="89"/>
      <c r="V44" s="89"/>
      <c r="W44" s="89"/>
      <c r="X44" s="88"/>
      <c r="Y44" s="88"/>
      <c r="Z44" s="91"/>
      <c r="AA44" s="91"/>
      <c r="AB44" s="91"/>
      <c r="AC44" s="91"/>
      <c r="AD44" s="88"/>
      <c r="AE44" s="88">
        <f t="shared" si="3"/>
        <v>0</v>
      </c>
      <c r="AF44" s="88"/>
      <c r="AG44" s="89"/>
      <c r="AH44" s="15"/>
    </row>
    <row r="45" spans="1:35" ht="12.75">
      <c r="A45" s="101" t="s">
        <v>25</v>
      </c>
      <c r="B45" s="115"/>
      <c r="C45" s="115"/>
      <c r="D45" s="116"/>
      <c r="E45" s="116"/>
      <c r="F45" s="117"/>
      <c r="G45" s="118"/>
      <c r="H45" s="116"/>
      <c r="I45" s="119"/>
      <c r="J45" s="119"/>
      <c r="K45" s="119"/>
      <c r="L45" s="120"/>
      <c r="M45" s="120"/>
      <c r="N45" s="121"/>
      <c r="O45" s="121"/>
      <c r="P45" s="103"/>
      <c r="Q45" s="121"/>
      <c r="R45" s="103"/>
      <c r="S45" s="71"/>
      <c r="T45" s="123"/>
      <c r="U45" s="124"/>
      <c r="V45" s="124"/>
      <c r="W45" s="124"/>
      <c r="X45" s="122"/>
      <c r="Y45" s="122"/>
      <c r="Z45" s="121"/>
      <c r="AA45" s="121"/>
      <c r="AB45" s="121"/>
      <c r="AC45" s="121"/>
      <c r="AD45" s="125"/>
      <c r="AE45" s="125">
        <f t="shared" si="3"/>
        <v>0</v>
      </c>
      <c r="AF45" s="125"/>
      <c r="AG45" s="124"/>
      <c r="AH45" s="14"/>
      <c r="AI45" s="10"/>
    </row>
    <row r="46" spans="1:34" ht="12.75">
      <c r="A46" s="109" t="s">
        <v>86</v>
      </c>
      <c r="B46" s="108" t="s">
        <v>81</v>
      </c>
      <c r="C46" s="108" t="s">
        <v>85</v>
      </c>
      <c r="D46" s="110">
        <v>1</v>
      </c>
      <c r="E46" s="45">
        <f>$E$4</f>
        <v>4100</v>
      </c>
      <c r="F46" s="45">
        <f aca="true" t="shared" si="16" ref="F46:F61">$E46*5/100</f>
        <v>205</v>
      </c>
      <c r="G46" s="86">
        <f>$G$4</f>
        <v>350</v>
      </c>
      <c r="H46" s="88">
        <f aca="true" t="shared" si="17" ref="H46:H61">$G46*10/100</f>
        <v>35</v>
      </c>
      <c r="I46" s="46">
        <f>D46*(E46+F46+G46+H46)</f>
        <v>4690</v>
      </c>
      <c r="J46" s="152">
        <f>I46</f>
        <v>4690</v>
      </c>
      <c r="K46" s="152">
        <f>K4*D46</f>
        <v>4305</v>
      </c>
      <c r="L46" s="126">
        <v>4110</v>
      </c>
      <c r="M46" s="47" t="s">
        <v>96</v>
      </c>
      <c r="N46" s="78">
        <f>-I46+L46</f>
        <v>-580</v>
      </c>
      <c r="O46" s="130">
        <f>-K46+L46</f>
        <v>-195</v>
      </c>
      <c r="P46" s="96">
        <f>Y46</f>
        <v>4090</v>
      </c>
      <c r="Q46" s="112" t="s">
        <v>323</v>
      </c>
      <c r="R46" s="130">
        <f t="shared" si="0"/>
        <v>-600</v>
      </c>
      <c r="S46" s="113"/>
      <c r="T46" s="113" t="s">
        <v>24</v>
      </c>
      <c r="U46" s="89" t="s">
        <v>41</v>
      </c>
      <c r="V46" s="157"/>
      <c r="W46" s="157" t="s">
        <v>175</v>
      </c>
      <c r="X46" s="164">
        <v>10</v>
      </c>
      <c r="Y46" s="162">
        <f>V46+W46+X46</f>
        <v>4090</v>
      </c>
      <c r="Z46" s="147">
        <f>Y46-K46</f>
        <v>-215</v>
      </c>
      <c r="AA46" s="147"/>
      <c r="AB46" s="147"/>
      <c r="AC46" s="147"/>
      <c r="AD46" s="167">
        <f>Y46/D46</f>
        <v>4090</v>
      </c>
      <c r="AE46" s="167">
        <f t="shared" si="3"/>
        <v>600</v>
      </c>
      <c r="AF46" s="167"/>
      <c r="AG46" s="89"/>
      <c r="AH46" s="12"/>
    </row>
    <row r="47" spans="1:34" ht="12.75">
      <c r="A47" s="109" t="s">
        <v>87</v>
      </c>
      <c r="B47" s="108" t="s">
        <v>88</v>
      </c>
      <c r="C47" s="108" t="s">
        <v>89</v>
      </c>
      <c r="D47" s="110">
        <v>1</v>
      </c>
      <c r="E47" s="45">
        <f aca="true" t="shared" si="18" ref="E47:E61">$E$4</f>
        <v>4100</v>
      </c>
      <c r="F47" s="45">
        <f t="shared" si="16"/>
        <v>205</v>
      </c>
      <c r="G47" s="86">
        <f aca="true" t="shared" si="19" ref="G47:G61">$G$4</f>
        <v>350</v>
      </c>
      <c r="H47" s="88">
        <f t="shared" si="17"/>
        <v>35</v>
      </c>
      <c r="I47" s="46">
        <f aca="true" t="shared" si="20" ref="I47:I60">D47*(E47+F47+G47+H47)</f>
        <v>4690</v>
      </c>
      <c r="J47" s="152">
        <f aca="true" t="shared" si="21" ref="J47:J61">I47</f>
        <v>4690</v>
      </c>
      <c r="K47" s="152">
        <f>K4*D47</f>
        <v>4305</v>
      </c>
      <c r="L47" s="126">
        <f>4110+50</f>
        <v>4160</v>
      </c>
      <c r="M47" s="47" t="s">
        <v>96</v>
      </c>
      <c r="N47" s="78">
        <f>-I47+L47</f>
        <v>-530</v>
      </c>
      <c r="O47" s="130">
        <f aca="true" t="shared" si="22" ref="O47:O60">-K47+L47</f>
        <v>-145</v>
      </c>
      <c r="P47" s="96">
        <f aca="true" t="shared" si="23" ref="P47:P60">Y47</f>
        <v>4092</v>
      </c>
      <c r="Q47" s="112" t="s">
        <v>175</v>
      </c>
      <c r="R47" s="130">
        <f t="shared" si="0"/>
        <v>-598</v>
      </c>
      <c r="S47" s="113"/>
      <c r="T47" s="113" t="s">
        <v>24</v>
      </c>
      <c r="U47" s="89" t="s">
        <v>41</v>
      </c>
      <c r="V47" s="157" t="s">
        <v>230</v>
      </c>
      <c r="W47" s="157" t="s">
        <v>175</v>
      </c>
      <c r="X47" s="164">
        <v>10</v>
      </c>
      <c r="Y47" s="162">
        <f aca="true" t="shared" si="24" ref="Y47:Y60">V47+W47+X47</f>
        <v>4092</v>
      </c>
      <c r="Z47" s="147">
        <f aca="true" t="shared" si="25" ref="Z47:Z60">Y47-K47</f>
        <v>-213</v>
      </c>
      <c r="AA47" s="147"/>
      <c r="AB47" s="147"/>
      <c r="AC47" s="147"/>
      <c r="AD47" s="167">
        <f aca="true" t="shared" si="26" ref="AD47:AD60">Y47/D47</f>
        <v>4092</v>
      </c>
      <c r="AE47" s="167">
        <f t="shared" si="3"/>
        <v>598</v>
      </c>
      <c r="AF47" s="167"/>
      <c r="AG47" s="89"/>
      <c r="AH47" s="12"/>
    </row>
    <row r="48" spans="1:34" ht="12.75">
      <c r="A48" s="109" t="s">
        <v>34</v>
      </c>
      <c r="B48" s="108"/>
      <c r="C48" s="108" t="s">
        <v>35</v>
      </c>
      <c r="D48" s="110">
        <v>3</v>
      </c>
      <c r="E48" s="45">
        <f t="shared" si="18"/>
        <v>4100</v>
      </c>
      <c r="F48" s="45">
        <f t="shared" si="16"/>
        <v>205</v>
      </c>
      <c r="G48" s="86">
        <f t="shared" si="19"/>
        <v>350</v>
      </c>
      <c r="H48" s="88">
        <f t="shared" si="17"/>
        <v>35</v>
      </c>
      <c r="I48" s="46">
        <f t="shared" si="20"/>
        <v>14070</v>
      </c>
      <c r="J48" s="152">
        <f t="shared" si="21"/>
        <v>14070</v>
      </c>
      <c r="K48" s="152">
        <f>K4*D48</f>
        <v>12915</v>
      </c>
      <c r="L48" s="111" t="s">
        <v>109</v>
      </c>
      <c r="M48" s="128" t="s">
        <v>95</v>
      </c>
      <c r="N48" s="78"/>
      <c r="O48" s="130"/>
      <c r="P48" s="96">
        <f>Y48+982+AA48</f>
        <v>13552</v>
      </c>
      <c r="Q48" s="112" t="s">
        <v>329</v>
      </c>
      <c r="R48" s="130">
        <f t="shared" si="0"/>
        <v>-518</v>
      </c>
      <c r="S48" s="113"/>
      <c r="T48" s="113" t="s">
        <v>24</v>
      </c>
      <c r="U48" s="112" t="s">
        <v>110</v>
      </c>
      <c r="V48" s="158" t="s">
        <v>246</v>
      </c>
      <c r="W48" s="158" t="s">
        <v>264</v>
      </c>
      <c r="X48" s="164">
        <v>0</v>
      </c>
      <c r="Y48" s="162">
        <f>V48+W48+X48+AA48</f>
        <v>11588</v>
      </c>
      <c r="Z48" s="147">
        <f t="shared" si="25"/>
        <v>-1327</v>
      </c>
      <c r="AA48" s="91">
        <v>982</v>
      </c>
      <c r="AB48" s="147">
        <f>AA48+Z48</f>
        <v>-345</v>
      </c>
      <c r="AC48" s="147">
        <f>AA48/D48</f>
        <v>327.3333333333333</v>
      </c>
      <c r="AD48" s="196">
        <f>Y48/D48+AC21</f>
        <v>3862.6666666666665</v>
      </c>
      <c r="AE48" s="196">
        <f t="shared" si="3"/>
        <v>2482</v>
      </c>
      <c r="AF48" s="196"/>
      <c r="AG48" s="112"/>
      <c r="AH48" s="12"/>
    </row>
    <row r="49" spans="1:34" ht="12.75">
      <c r="A49" s="109" t="s">
        <v>36</v>
      </c>
      <c r="B49" s="108"/>
      <c r="C49" s="108" t="s">
        <v>26</v>
      </c>
      <c r="D49" s="110">
        <v>3</v>
      </c>
      <c r="E49" s="45">
        <f t="shared" si="18"/>
        <v>4100</v>
      </c>
      <c r="F49" s="45">
        <f t="shared" si="16"/>
        <v>205</v>
      </c>
      <c r="G49" s="86">
        <f t="shared" si="19"/>
        <v>350</v>
      </c>
      <c r="H49" s="88">
        <f t="shared" si="17"/>
        <v>35</v>
      </c>
      <c r="I49" s="46">
        <f t="shared" si="20"/>
        <v>14070</v>
      </c>
      <c r="J49" s="152">
        <f t="shared" si="21"/>
        <v>14070</v>
      </c>
      <c r="K49" s="152">
        <f>K4*D49</f>
        <v>12915</v>
      </c>
      <c r="L49" s="111">
        <v>12300</v>
      </c>
      <c r="M49" s="128" t="s">
        <v>95</v>
      </c>
      <c r="N49" s="78">
        <f aca="true" t="shared" si="27" ref="N49:N60">-I49+L49</f>
        <v>-1770</v>
      </c>
      <c r="O49" s="130">
        <f t="shared" si="22"/>
        <v>-615</v>
      </c>
      <c r="P49" s="96">
        <f t="shared" si="23"/>
        <v>11336</v>
      </c>
      <c r="Q49" s="112" t="s">
        <v>176</v>
      </c>
      <c r="R49" s="130">
        <f t="shared" si="0"/>
        <v>-2734</v>
      </c>
      <c r="S49" s="113"/>
      <c r="T49" s="113" t="s">
        <v>24</v>
      </c>
      <c r="U49" s="112" t="s">
        <v>121</v>
      </c>
      <c r="V49" s="158" t="s">
        <v>242</v>
      </c>
      <c r="W49" s="158" t="s">
        <v>176</v>
      </c>
      <c r="X49" s="164">
        <v>0</v>
      </c>
      <c r="Y49" s="162">
        <f>V49+W49+X49+AA49</f>
        <v>11336</v>
      </c>
      <c r="Z49" s="147">
        <f t="shared" si="25"/>
        <v>-1579</v>
      </c>
      <c r="AA49" s="91">
        <v>1800</v>
      </c>
      <c r="AB49" s="147">
        <f>AA49+Z49</f>
        <v>221</v>
      </c>
      <c r="AC49" s="147">
        <f>AA49/D49</f>
        <v>600</v>
      </c>
      <c r="AD49" s="196">
        <f t="shared" si="26"/>
        <v>3778.6666666666665</v>
      </c>
      <c r="AE49" s="196">
        <f t="shared" si="3"/>
        <v>2734</v>
      </c>
      <c r="AF49" s="196"/>
      <c r="AG49" s="112"/>
      <c r="AH49" s="12"/>
    </row>
    <row r="50" spans="1:34" ht="12.75">
      <c r="A50" s="109" t="s">
        <v>37</v>
      </c>
      <c r="B50" s="108"/>
      <c r="C50" s="108" t="s">
        <v>127</v>
      </c>
      <c r="D50" s="110">
        <v>6</v>
      </c>
      <c r="E50" s="45">
        <f t="shared" si="18"/>
        <v>4100</v>
      </c>
      <c r="F50" s="45">
        <f t="shared" si="16"/>
        <v>205</v>
      </c>
      <c r="G50" s="86">
        <f t="shared" si="19"/>
        <v>350</v>
      </c>
      <c r="H50" s="88">
        <f t="shared" si="17"/>
        <v>35</v>
      </c>
      <c r="I50" s="46">
        <f t="shared" si="20"/>
        <v>28140</v>
      </c>
      <c r="J50" s="152">
        <f t="shared" si="21"/>
        <v>28140</v>
      </c>
      <c r="K50" s="152">
        <f>K4*D50</f>
        <v>25830</v>
      </c>
      <c r="L50" s="111">
        <v>25000</v>
      </c>
      <c r="M50" s="128" t="s">
        <v>95</v>
      </c>
      <c r="N50" s="78">
        <f t="shared" si="27"/>
        <v>-3140</v>
      </c>
      <c r="O50" s="130">
        <f t="shared" si="22"/>
        <v>-830</v>
      </c>
      <c r="P50" s="96">
        <f t="shared" si="23"/>
        <v>24000</v>
      </c>
      <c r="Q50" s="112" t="s">
        <v>177</v>
      </c>
      <c r="R50" s="130">
        <f t="shared" si="0"/>
        <v>-4140</v>
      </c>
      <c r="S50" s="140" t="s">
        <v>31</v>
      </c>
      <c r="T50" s="113" t="s">
        <v>24</v>
      </c>
      <c r="U50" s="112"/>
      <c r="V50" s="158"/>
      <c r="W50" s="158" t="s">
        <v>177</v>
      </c>
      <c r="X50" s="164">
        <v>0</v>
      </c>
      <c r="Y50" s="162">
        <f t="shared" si="24"/>
        <v>24000</v>
      </c>
      <c r="Z50" s="147">
        <f t="shared" si="25"/>
        <v>-1830</v>
      </c>
      <c r="AA50" s="147"/>
      <c r="AB50" s="147"/>
      <c r="AC50" s="147"/>
      <c r="AD50" s="196">
        <f t="shared" si="26"/>
        <v>4000</v>
      </c>
      <c r="AE50" s="196">
        <f t="shared" si="3"/>
        <v>4140</v>
      </c>
      <c r="AF50" s="196"/>
      <c r="AG50" s="112"/>
      <c r="AH50" s="12"/>
    </row>
    <row r="51" spans="1:34" ht="12.75">
      <c r="A51" s="109" t="s">
        <v>38</v>
      </c>
      <c r="B51" s="108"/>
      <c r="C51" s="108" t="s">
        <v>27</v>
      </c>
      <c r="D51" s="110">
        <v>3</v>
      </c>
      <c r="E51" s="45">
        <f t="shared" si="18"/>
        <v>4100</v>
      </c>
      <c r="F51" s="45">
        <f t="shared" si="16"/>
        <v>205</v>
      </c>
      <c r="G51" s="86">
        <f t="shared" si="19"/>
        <v>350</v>
      </c>
      <c r="H51" s="88">
        <f t="shared" si="17"/>
        <v>35</v>
      </c>
      <c r="I51" s="46">
        <f t="shared" si="20"/>
        <v>14070</v>
      </c>
      <c r="J51" s="152">
        <f t="shared" si="21"/>
        <v>14070</v>
      </c>
      <c r="K51" s="152">
        <f>K4*D51</f>
        <v>12915</v>
      </c>
      <c r="L51" s="111">
        <v>12400</v>
      </c>
      <c r="M51" s="128" t="s">
        <v>95</v>
      </c>
      <c r="N51" s="78">
        <f t="shared" si="27"/>
        <v>-1670</v>
      </c>
      <c r="O51" s="130">
        <f t="shared" si="22"/>
        <v>-515</v>
      </c>
      <c r="P51" s="96">
        <f t="shared" si="23"/>
        <v>14306</v>
      </c>
      <c r="Q51" s="112" t="s">
        <v>235</v>
      </c>
      <c r="R51" s="130">
        <f t="shared" si="0"/>
        <v>236</v>
      </c>
      <c r="S51" s="113"/>
      <c r="T51" s="113" t="s">
        <v>24</v>
      </c>
      <c r="U51" s="112" t="s">
        <v>122</v>
      </c>
      <c r="V51" s="158" t="s">
        <v>242</v>
      </c>
      <c r="W51" s="158" t="s">
        <v>235</v>
      </c>
      <c r="X51" s="164">
        <v>2300</v>
      </c>
      <c r="Y51" s="162">
        <f t="shared" si="24"/>
        <v>14306</v>
      </c>
      <c r="Z51" s="147">
        <f t="shared" si="25"/>
        <v>1391</v>
      </c>
      <c r="AA51" s="147"/>
      <c r="AB51" s="147"/>
      <c r="AC51" s="147"/>
      <c r="AD51" s="167">
        <f t="shared" si="26"/>
        <v>4768.666666666667</v>
      </c>
      <c r="AE51" s="167">
        <f t="shared" si="3"/>
        <v>-236</v>
      </c>
      <c r="AF51" s="167"/>
      <c r="AG51" s="112"/>
      <c r="AH51" s="12"/>
    </row>
    <row r="52" spans="1:34" ht="12.75">
      <c r="A52" s="109" t="s">
        <v>40</v>
      </c>
      <c r="B52" s="108"/>
      <c r="C52" s="108" t="s">
        <v>128</v>
      </c>
      <c r="D52" s="110">
        <v>2</v>
      </c>
      <c r="E52" s="45">
        <f t="shared" si="18"/>
        <v>4100</v>
      </c>
      <c r="F52" s="45">
        <f>$E52*30/100</f>
        <v>1230</v>
      </c>
      <c r="G52" s="86">
        <f t="shared" si="19"/>
        <v>350</v>
      </c>
      <c r="H52" s="88">
        <f>$G52*30/100</f>
        <v>105</v>
      </c>
      <c r="I52" s="46">
        <f t="shared" si="20"/>
        <v>11570</v>
      </c>
      <c r="J52" s="152">
        <f t="shared" si="21"/>
        <v>11570</v>
      </c>
      <c r="K52" s="152">
        <f>K4*D52</f>
        <v>8610</v>
      </c>
      <c r="L52" s="111">
        <v>4200</v>
      </c>
      <c r="M52" s="128" t="s">
        <v>95</v>
      </c>
      <c r="N52" s="78">
        <f t="shared" si="27"/>
        <v>-7370</v>
      </c>
      <c r="O52" s="130">
        <f t="shared" si="22"/>
        <v>-4410</v>
      </c>
      <c r="P52" s="96">
        <f t="shared" si="23"/>
        <v>4200</v>
      </c>
      <c r="Q52" s="112" t="s">
        <v>181</v>
      </c>
      <c r="R52" s="130">
        <f t="shared" si="0"/>
        <v>-7370</v>
      </c>
      <c r="S52" s="140" t="s">
        <v>31</v>
      </c>
      <c r="T52" s="113" t="s">
        <v>24</v>
      </c>
      <c r="U52" s="112"/>
      <c r="V52" s="158"/>
      <c r="W52" s="158" t="s">
        <v>181</v>
      </c>
      <c r="X52" s="164">
        <v>0</v>
      </c>
      <c r="Y52" s="162">
        <f t="shared" si="24"/>
        <v>4200</v>
      </c>
      <c r="Z52" s="147">
        <f t="shared" si="25"/>
        <v>-4410</v>
      </c>
      <c r="AA52" s="147"/>
      <c r="AB52" s="147"/>
      <c r="AC52" s="147"/>
      <c r="AD52" s="167">
        <f t="shared" si="26"/>
        <v>2100</v>
      </c>
      <c r="AE52" s="167">
        <f t="shared" si="3"/>
        <v>7370</v>
      </c>
      <c r="AF52" s="167"/>
      <c r="AG52" s="112"/>
      <c r="AH52" s="12"/>
    </row>
    <row r="53" spans="1:34" ht="12.75">
      <c r="A53" s="107" t="s">
        <v>8</v>
      </c>
      <c r="B53" s="43" t="s">
        <v>5</v>
      </c>
      <c r="C53" s="75" t="s">
        <v>9</v>
      </c>
      <c r="D53" s="76">
        <v>2</v>
      </c>
      <c r="E53" s="45">
        <f t="shared" si="18"/>
        <v>4100</v>
      </c>
      <c r="F53" s="45">
        <f t="shared" si="16"/>
        <v>205</v>
      </c>
      <c r="G53" s="86">
        <f t="shared" si="19"/>
        <v>350</v>
      </c>
      <c r="H53" s="88">
        <f t="shared" si="17"/>
        <v>35</v>
      </c>
      <c r="I53" s="46">
        <f t="shared" si="20"/>
        <v>9380</v>
      </c>
      <c r="J53" s="152">
        <f t="shared" si="21"/>
        <v>9380</v>
      </c>
      <c r="K53" s="152">
        <f>K4*D53</f>
        <v>8610</v>
      </c>
      <c r="L53" s="77">
        <v>8272</v>
      </c>
      <c r="M53" s="128" t="s">
        <v>97</v>
      </c>
      <c r="N53" s="78">
        <f t="shared" si="27"/>
        <v>-1108</v>
      </c>
      <c r="O53" s="130">
        <f t="shared" si="22"/>
        <v>-338</v>
      </c>
      <c r="P53" s="96">
        <f t="shared" si="23"/>
        <v>8204</v>
      </c>
      <c r="Q53" s="51" t="s">
        <v>327</v>
      </c>
      <c r="R53" s="130">
        <f t="shared" si="0"/>
        <v>-1176</v>
      </c>
      <c r="S53" s="140"/>
      <c r="T53" s="113" t="s">
        <v>24</v>
      </c>
      <c r="U53" s="51"/>
      <c r="V53" s="157" t="s">
        <v>240</v>
      </c>
      <c r="W53" s="157"/>
      <c r="X53" s="162">
        <v>8200</v>
      </c>
      <c r="Y53" s="162">
        <f t="shared" si="24"/>
        <v>8204</v>
      </c>
      <c r="Z53" s="147">
        <f t="shared" si="25"/>
        <v>-406</v>
      </c>
      <c r="AA53" s="147"/>
      <c r="AB53" s="147"/>
      <c r="AC53" s="147"/>
      <c r="AD53" s="167">
        <f t="shared" si="26"/>
        <v>4102</v>
      </c>
      <c r="AE53" s="167">
        <f t="shared" si="3"/>
        <v>1176</v>
      </c>
      <c r="AF53" s="167"/>
      <c r="AG53" s="89"/>
      <c r="AH53" s="9"/>
    </row>
    <row r="54" spans="1:34" ht="12.75">
      <c r="A54" s="107" t="s">
        <v>10</v>
      </c>
      <c r="B54" s="43" t="s">
        <v>5</v>
      </c>
      <c r="C54" s="75" t="s">
        <v>11</v>
      </c>
      <c r="D54" s="76">
        <v>1</v>
      </c>
      <c r="E54" s="45">
        <f t="shared" si="18"/>
        <v>4100</v>
      </c>
      <c r="F54" s="45">
        <f t="shared" si="16"/>
        <v>205</v>
      </c>
      <c r="G54" s="86">
        <f t="shared" si="19"/>
        <v>350</v>
      </c>
      <c r="H54" s="88">
        <f t="shared" si="17"/>
        <v>35</v>
      </c>
      <c r="I54" s="46">
        <f t="shared" si="20"/>
        <v>4690</v>
      </c>
      <c r="J54" s="152">
        <f t="shared" si="21"/>
        <v>4690</v>
      </c>
      <c r="K54" s="152">
        <f>K4*D54</f>
        <v>4305</v>
      </c>
      <c r="L54" s="77">
        <v>4136</v>
      </c>
      <c r="M54" s="47" t="s">
        <v>97</v>
      </c>
      <c r="N54" s="78">
        <f t="shared" si="27"/>
        <v>-554</v>
      </c>
      <c r="O54" s="130">
        <f t="shared" si="22"/>
        <v>-169</v>
      </c>
      <c r="P54" s="96">
        <f t="shared" si="23"/>
        <v>4102</v>
      </c>
      <c r="Q54" s="51" t="s">
        <v>324</v>
      </c>
      <c r="R54" s="130">
        <f t="shared" si="0"/>
        <v>-588</v>
      </c>
      <c r="S54" s="140"/>
      <c r="T54" s="113" t="s">
        <v>24</v>
      </c>
      <c r="U54" s="51"/>
      <c r="V54" s="157" t="s">
        <v>230</v>
      </c>
      <c r="W54" s="157"/>
      <c r="X54" s="162">
        <v>4100</v>
      </c>
      <c r="Y54" s="162">
        <f t="shared" si="24"/>
        <v>4102</v>
      </c>
      <c r="Z54" s="147">
        <f t="shared" si="25"/>
        <v>-203</v>
      </c>
      <c r="AA54" s="147"/>
      <c r="AB54" s="147"/>
      <c r="AC54" s="147"/>
      <c r="AD54" s="167">
        <f t="shared" si="26"/>
        <v>4102</v>
      </c>
      <c r="AE54" s="167">
        <f t="shared" si="3"/>
        <v>588</v>
      </c>
      <c r="AF54" s="167"/>
      <c r="AG54" s="89"/>
      <c r="AH54" s="9"/>
    </row>
    <row r="55" spans="1:34" ht="12.75">
      <c r="A55" s="107" t="s">
        <v>99</v>
      </c>
      <c r="B55" s="43" t="s">
        <v>5</v>
      </c>
      <c r="C55" s="75" t="s">
        <v>105</v>
      </c>
      <c r="D55" s="76">
        <v>1</v>
      </c>
      <c r="E55" s="45">
        <f t="shared" si="18"/>
        <v>4100</v>
      </c>
      <c r="F55" s="45">
        <f t="shared" si="16"/>
        <v>205</v>
      </c>
      <c r="G55" s="86">
        <f t="shared" si="19"/>
        <v>350</v>
      </c>
      <c r="H55" s="88">
        <f t="shared" si="17"/>
        <v>35</v>
      </c>
      <c r="I55" s="46">
        <f t="shared" si="20"/>
        <v>4690</v>
      </c>
      <c r="J55" s="152">
        <f t="shared" si="21"/>
        <v>4690</v>
      </c>
      <c r="K55" s="152">
        <f>K4*D55</f>
        <v>4305</v>
      </c>
      <c r="L55" s="77">
        <v>4200</v>
      </c>
      <c r="M55" s="47" t="s">
        <v>97</v>
      </c>
      <c r="N55" s="78">
        <f t="shared" si="27"/>
        <v>-490</v>
      </c>
      <c r="O55" s="130">
        <f t="shared" si="22"/>
        <v>-105</v>
      </c>
      <c r="P55" s="96">
        <f t="shared" si="23"/>
        <v>4102</v>
      </c>
      <c r="Q55" s="51" t="s">
        <v>324</v>
      </c>
      <c r="R55" s="130">
        <f t="shared" si="0"/>
        <v>-588</v>
      </c>
      <c r="S55" s="140"/>
      <c r="T55" s="113" t="s">
        <v>24</v>
      </c>
      <c r="U55" s="51"/>
      <c r="V55" s="157" t="s">
        <v>230</v>
      </c>
      <c r="W55" s="157" t="s">
        <v>180</v>
      </c>
      <c r="X55" s="162">
        <v>1800</v>
      </c>
      <c r="Y55" s="162">
        <f t="shared" si="24"/>
        <v>4102</v>
      </c>
      <c r="Z55" s="147">
        <f t="shared" si="25"/>
        <v>-203</v>
      </c>
      <c r="AA55" s="147"/>
      <c r="AB55" s="147"/>
      <c r="AC55" s="147"/>
      <c r="AD55" s="167">
        <f t="shared" si="26"/>
        <v>4102</v>
      </c>
      <c r="AE55" s="167">
        <f t="shared" si="3"/>
        <v>588</v>
      </c>
      <c r="AF55" s="167"/>
      <c r="AG55" s="89"/>
      <c r="AH55" s="9"/>
    </row>
    <row r="56" spans="1:34" ht="12.75">
      <c r="A56" s="107" t="s">
        <v>100</v>
      </c>
      <c r="B56" s="43" t="s">
        <v>5</v>
      </c>
      <c r="C56" s="75" t="s">
        <v>12</v>
      </c>
      <c r="D56" s="76">
        <v>1</v>
      </c>
      <c r="E56" s="45">
        <f t="shared" si="18"/>
        <v>4100</v>
      </c>
      <c r="F56" s="45">
        <f t="shared" si="16"/>
        <v>205</v>
      </c>
      <c r="G56" s="86">
        <f t="shared" si="19"/>
        <v>350</v>
      </c>
      <c r="H56" s="88">
        <f t="shared" si="17"/>
        <v>35</v>
      </c>
      <c r="I56" s="46">
        <f>D56*(E56+F56+G56+H56)</f>
        <v>4690</v>
      </c>
      <c r="J56" s="152">
        <f t="shared" si="21"/>
        <v>4690</v>
      </c>
      <c r="K56" s="152">
        <f>K4*D56</f>
        <v>4305</v>
      </c>
      <c r="L56" s="77">
        <v>4200</v>
      </c>
      <c r="M56" s="47" t="s">
        <v>97</v>
      </c>
      <c r="N56" s="78">
        <f t="shared" si="27"/>
        <v>-490</v>
      </c>
      <c r="O56" s="130">
        <f t="shared" si="22"/>
        <v>-105</v>
      </c>
      <c r="P56" s="96">
        <f t="shared" si="23"/>
        <v>4102</v>
      </c>
      <c r="Q56" s="51" t="s">
        <v>324</v>
      </c>
      <c r="R56" s="130">
        <f t="shared" si="0"/>
        <v>-588</v>
      </c>
      <c r="S56" s="140"/>
      <c r="T56" s="113" t="s">
        <v>24</v>
      </c>
      <c r="U56" s="51"/>
      <c r="V56" s="157" t="s">
        <v>230</v>
      </c>
      <c r="W56" s="157"/>
      <c r="X56" s="162">
        <v>4100</v>
      </c>
      <c r="Y56" s="162">
        <f t="shared" si="24"/>
        <v>4102</v>
      </c>
      <c r="Z56" s="147">
        <f t="shared" si="25"/>
        <v>-203</v>
      </c>
      <c r="AA56" s="147"/>
      <c r="AB56" s="147"/>
      <c r="AC56" s="147"/>
      <c r="AD56" s="167">
        <f t="shared" si="26"/>
        <v>4102</v>
      </c>
      <c r="AE56" s="167">
        <f t="shared" si="3"/>
        <v>588</v>
      </c>
      <c r="AF56" s="167"/>
      <c r="AG56" s="89"/>
      <c r="AH56" s="9"/>
    </row>
    <row r="57" spans="1:34" ht="12.75">
      <c r="A57" s="107" t="s">
        <v>101</v>
      </c>
      <c r="B57" s="43" t="s">
        <v>5</v>
      </c>
      <c r="C57" s="75" t="s">
        <v>104</v>
      </c>
      <c r="D57" s="76">
        <v>0.15</v>
      </c>
      <c r="E57" s="45">
        <f t="shared" si="18"/>
        <v>4100</v>
      </c>
      <c r="F57" s="45">
        <f t="shared" si="16"/>
        <v>205</v>
      </c>
      <c r="G57" s="86">
        <f t="shared" si="19"/>
        <v>350</v>
      </c>
      <c r="H57" s="88">
        <f t="shared" si="17"/>
        <v>35</v>
      </c>
      <c r="I57" s="46">
        <f t="shared" si="20"/>
        <v>703.5</v>
      </c>
      <c r="J57" s="152">
        <f t="shared" si="21"/>
        <v>703.5</v>
      </c>
      <c r="K57" s="152">
        <f>K4*D57</f>
        <v>645.75</v>
      </c>
      <c r="L57" s="77">
        <v>800</v>
      </c>
      <c r="M57" s="128" t="s">
        <v>97</v>
      </c>
      <c r="N57" s="78">
        <f t="shared" si="27"/>
        <v>96.5</v>
      </c>
      <c r="O57" s="130">
        <f t="shared" si="22"/>
        <v>154.25</v>
      </c>
      <c r="P57" s="96">
        <f t="shared" si="23"/>
        <v>800</v>
      </c>
      <c r="Q57" s="51" t="s">
        <v>255</v>
      </c>
      <c r="R57" s="130">
        <f t="shared" si="0"/>
        <v>96.5</v>
      </c>
      <c r="S57" s="140"/>
      <c r="T57" s="113" t="s">
        <v>24</v>
      </c>
      <c r="U57" s="51"/>
      <c r="V57" s="157"/>
      <c r="W57" s="157"/>
      <c r="X57" s="162">
        <v>800</v>
      </c>
      <c r="Y57" s="162">
        <f t="shared" si="24"/>
        <v>800</v>
      </c>
      <c r="Z57" s="147">
        <f t="shared" si="25"/>
        <v>154.25</v>
      </c>
      <c r="AA57" s="147"/>
      <c r="AB57" s="147"/>
      <c r="AC57" s="147"/>
      <c r="AD57" s="167">
        <f t="shared" si="26"/>
        <v>5333.333333333334</v>
      </c>
      <c r="AE57" s="167">
        <f t="shared" si="3"/>
        <v>-96.50000000000011</v>
      </c>
      <c r="AF57" s="167"/>
      <c r="AG57" s="89"/>
      <c r="AH57" s="9"/>
    </row>
    <row r="58" spans="1:34" ht="12.75">
      <c r="A58" s="107" t="s">
        <v>103</v>
      </c>
      <c r="B58" s="43"/>
      <c r="C58" s="75" t="s">
        <v>102</v>
      </c>
      <c r="D58" s="76">
        <v>0.1</v>
      </c>
      <c r="E58" s="45">
        <f t="shared" si="18"/>
        <v>4100</v>
      </c>
      <c r="F58" s="45">
        <f t="shared" si="16"/>
        <v>205</v>
      </c>
      <c r="G58" s="86">
        <f t="shared" si="19"/>
        <v>350</v>
      </c>
      <c r="H58" s="88">
        <f t="shared" si="17"/>
        <v>35</v>
      </c>
      <c r="I58" s="46">
        <f>D58*(E58+F58+G58+H58)</f>
        <v>469</v>
      </c>
      <c r="J58" s="152">
        <f t="shared" si="21"/>
        <v>469</v>
      </c>
      <c r="K58" s="152">
        <f>K4*D58</f>
        <v>430.5</v>
      </c>
      <c r="L58" s="77">
        <v>280</v>
      </c>
      <c r="M58" s="128" t="s">
        <v>97</v>
      </c>
      <c r="N58" s="78">
        <f t="shared" si="27"/>
        <v>-189</v>
      </c>
      <c r="O58" s="130">
        <f t="shared" si="22"/>
        <v>-150.5</v>
      </c>
      <c r="P58" s="96">
        <f t="shared" si="23"/>
        <v>331</v>
      </c>
      <c r="Q58" s="89" t="s">
        <v>178</v>
      </c>
      <c r="R58" s="130">
        <f t="shared" si="0"/>
        <v>-138</v>
      </c>
      <c r="S58" s="140"/>
      <c r="T58" s="113" t="s">
        <v>24</v>
      </c>
      <c r="U58" s="51"/>
      <c r="V58" s="157"/>
      <c r="W58" s="157" t="s">
        <v>332</v>
      </c>
      <c r="X58" s="162">
        <v>140</v>
      </c>
      <c r="Y58" s="162">
        <f t="shared" si="24"/>
        <v>331</v>
      </c>
      <c r="Z58" s="91">
        <f t="shared" si="25"/>
        <v>-99.5</v>
      </c>
      <c r="AA58" s="91">
        <v>51</v>
      </c>
      <c r="AB58" s="147"/>
      <c r="AC58" s="147"/>
      <c r="AD58" s="88">
        <f t="shared" si="26"/>
        <v>3310</v>
      </c>
      <c r="AE58" s="88">
        <f t="shared" si="3"/>
        <v>138</v>
      </c>
      <c r="AF58" s="88"/>
      <c r="AG58" s="89"/>
      <c r="AH58" s="9"/>
    </row>
    <row r="59" spans="1:34" ht="12.75">
      <c r="A59" s="107" t="s">
        <v>13</v>
      </c>
      <c r="B59" s="43"/>
      <c r="C59" s="75"/>
      <c r="D59" s="76">
        <v>1</v>
      </c>
      <c r="E59" s="45">
        <f t="shared" si="18"/>
        <v>4100</v>
      </c>
      <c r="F59" s="45">
        <f t="shared" si="16"/>
        <v>205</v>
      </c>
      <c r="G59" s="86">
        <f t="shared" si="19"/>
        <v>350</v>
      </c>
      <c r="H59" s="88">
        <f t="shared" si="17"/>
        <v>35</v>
      </c>
      <c r="I59" s="46">
        <f t="shared" si="20"/>
        <v>4690</v>
      </c>
      <c r="J59" s="152">
        <f t="shared" si="21"/>
        <v>4690</v>
      </c>
      <c r="K59" s="152">
        <f>K4*D59</f>
        <v>4305</v>
      </c>
      <c r="L59" s="77">
        <v>4250</v>
      </c>
      <c r="M59" s="47" t="s">
        <v>97</v>
      </c>
      <c r="N59" s="78">
        <f t="shared" si="27"/>
        <v>-440</v>
      </c>
      <c r="O59" s="130">
        <f t="shared" si="22"/>
        <v>-55</v>
      </c>
      <c r="P59" s="96">
        <f t="shared" si="23"/>
        <v>4100</v>
      </c>
      <c r="Q59" s="51" t="s">
        <v>324</v>
      </c>
      <c r="R59" s="130">
        <f t="shared" si="0"/>
        <v>-590</v>
      </c>
      <c r="S59" s="140"/>
      <c r="T59" s="113" t="s">
        <v>24</v>
      </c>
      <c r="U59" s="51"/>
      <c r="V59" s="157"/>
      <c r="W59" s="157" t="s">
        <v>179</v>
      </c>
      <c r="X59" s="162">
        <v>3950</v>
      </c>
      <c r="Y59" s="162">
        <f t="shared" si="24"/>
        <v>4100</v>
      </c>
      <c r="Z59" s="147">
        <f t="shared" si="25"/>
        <v>-205</v>
      </c>
      <c r="AA59" s="147"/>
      <c r="AB59" s="147"/>
      <c r="AC59" s="147"/>
      <c r="AD59" s="167">
        <f t="shared" si="26"/>
        <v>4100</v>
      </c>
      <c r="AE59" s="167">
        <f t="shared" si="3"/>
        <v>590</v>
      </c>
      <c r="AF59" s="167"/>
      <c r="AG59" s="89"/>
      <c r="AH59" s="9"/>
    </row>
    <row r="60" spans="1:34" ht="12.75">
      <c r="A60" s="107" t="s">
        <v>14</v>
      </c>
      <c r="B60" s="43"/>
      <c r="C60" s="75"/>
      <c r="D60" s="76">
        <v>1</v>
      </c>
      <c r="E60" s="45">
        <f t="shared" si="18"/>
        <v>4100</v>
      </c>
      <c r="F60" s="45">
        <f t="shared" si="16"/>
        <v>205</v>
      </c>
      <c r="G60" s="86">
        <f t="shared" si="19"/>
        <v>350</v>
      </c>
      <c r="H60" s="88">
        <f t="shared" si="17"/>
        <v>35</v>
      </c>
      <c r="I60" s="46">
        <f t="shared" si="20"/>
        <v>4690</v>
      </c>
      <c r="J60" s="152">
        <f t="shared" si="21"/>
        <v>4690</v>
      </c>
      <c r="K60" s="152">
        <f>K4*D60</f>
        <v>4305</v>
      </c>
      <c r="L60" s="77">
        <v>4273</v>
      </c>
      <c r="M60" s="47" t="s">
        <v>97</v>
      </c>
      <c r="N60" s="78">
        <f t="shared" si="27"/>
        <v>-417</v>
      </c>
      <c r="O60" s="130">
        <f t="shared" si="22"/>
        <v>-32</v>
      </c>
      <c r="P60" s="96">
        <f t="shared" si="23"/>
        <v>4100</v>
      </c>
      <c r="Q60" s="51" t="s">
        <v>324</v>
      </c>
      <c r="R60" s="130">
        <f>-I60+P60</f>
        <v>-590</v>
      </c>
      <c r="S60" s="140"/>
      <c r="T60" s="113" t="s">
        <v>24</v>
      </c>
      <c r="U60" s="51"/>
      <c r="V60" s="157"/>
      <c r="W60" s="157" t="s">
        <v>167</v>
      </c>
      <c r="X60" s="162">
        <v>4000</v>
      </c>
      <c r="Y60" s="162">
        <f t="shared" si="24"/>
        <v>4100</v>
      </c>
      <c r="Z60" s="147">
        <f t="shared" si="25"/>
        <v>-205</v>
      </c>
      <c r="AA60" s="147"/>
      <c r="AB60" s="147"/>
      <c r="AC60" s="147"/>
      <c r="AD60" s="167">
        <f t="shared" si="26"/>
        <v>4100</v>
      </c>
      <c r="AE60" s="167">
        <f t="shared" si="3"/>
        <v>590</v>
      </c>
      <c r="AF60" s="167"/>
      <c r="AG60" s="89"/>
      <c r="AH60" s="9"/>
    </row>
    <row r="61" spans="1:34" ht="12.75">
      <c r="A61" s="107" t="s">
        <v>356</v>
      </c>
      <c r="B61" s="43" t="s">
        <v>357</v>
      </c>
      <c r="C61" s="75"/>
      <c r="D61" s="76">
        <v>0.05</v>
      </c>
      <c r="E61" s="45">
        <f t="shared" si="18"/>
        <v>4100</v>
      </c>
      <c r="F61" s="45">
        <f t="shared" si="16"/>
        <v>205</v>
      </c>
      <c r="G61" s="86">
        <f t="shared" si="19"/>
        <v>350</v>
      </c>
      <c r="H61" s="88">
        <f t="shared" si="17"/>
        <v>35</v>
      </c>
      <c r="I61" s="46">
        <f>D61*(E61+F61+G61+H61)</f>
        <v>234.5</v>
      </c>
      <c r="J61" s="152">
        <f t="shared" si="21"/>
        <v>234.5</v>
      </c>
      <c r="K61" s="152"/>
      <c r="L61" s="77"/>
      <c r="M61" s="47"/>
      <c r="N61" s="78"/>
      <c r="O61" s="130"/>
      <c r="P61" s="96"/>
      <c r="Q61" s="51"/>
      <c r="R61" s="130"/>
      <c r="S61" s="140"/>
      <c r="T61" s="113"/>
      <c r="U61" s="51"/>
      <c r="V61" s="157"/>
      <c r="W61" s="157"/>
      <c r="X61" s="162"/>
      <c r="Y61" s="162"/>
      <c r="Z61" s="147"/>
      <c r="AA61" s="147"/>
      <c r="AB61" s="147"/>
      <c r="AC61" s="147"/>
      <c r="AD61" s="167"/>
      <c r="AE61" s="167"/>
      <c r="AF61" s="167"/>
      <c r="AG61" s="89"/>
      <c r="AH61" s="9"/>
    </row>
    <row r="62" spans="1:35" ht="12.75">
      <c r="A62" s="131" t="s">
        <v>1</v>
      </c>
      <c r="B62" s="132"/>
      <c r="C62" s="132"/>
      <c r="D62" s="133"/>
      <c r="E62" s="133"/>
      <c r="F62" s="133"/>
      <c r="G62" s="168"/>
      <c r="H62" s="169"/>
      <c r="I62" s="134" t="e">
        <f>SUM(I6:I61)</f>
        <v>#VALUE!</v>
      </c>
      <c r="J62" s="134"/>
      <c r="K62" s="134"/>
      <c r="L62" s="134">
        <f>SUM(L6:L61)</f>
        <v>1221651</v>
      </c>
      <c r="M62" s="135"/>
      <c r="N62" s="136" t="e">
        <f>SUM(N6:N61)</f>
        <v>#VALUE!</v>
      </c>
      <c r="O62" s="136"/>
      <c r="P62" s="135"/>
      <c r="Q62" s="137"/>
      <c r="R62" s="135"/>
      <c r="S62" s="138"/>
      <c r="T62" s="138"/>
      <c r="U62" s="137"/>
      <c r="V62" s="137"/>
      <c r="W62" s="137"/>
      <c r="X62" s="135">
        <f>SUM(X6:X61)</f>
        <v>34285</v>
      </c>
      <c r="Y62" s="135"/>
      <c r="Z62" s="139">
        <f>SUM(Z6:Z61)</f>
        <v>-578302.25</v>
      </c>
      <c r="AA62" s="139"/>
      <c r="AB62" s="139"/>
      <c r="AC62" s="139"/>
      <c r="AD62" s="135"/>
      <c r="AE62" s="135"/>
      <c r="AF62" s="135"/>
      <c r="AG62" s="137"/>
      <c r="AH62" s="210"/>
      <c r="AI62" s="211"/>
    </row>
    <row r="63" spans="1:34" ht="61.5" customHeight="1">
      <c r="A63" s="8"/>
      <c r="B63" s="30"/>
      <c r="C63" s="30"/>
      <c r="D63" s="28"/>
      <c r="E63" s="28"/>
      <c r="F63" s="28"/>
      <c r="G63" s="149"/>
      <c r="H63" s="149"/>
      <c r="I63" s="5"/>
      <c r="J63" s="5"/>
      <c r="K63" s="5"/>
      <c r="L63" s="7"/>
      <c r="M63" s="6"/>
      <c r="N63" s="4"/>
      <c r="O63" s="4"/>
      <c r="P63" s="148"/>
      <c r="Q63" s="4"/>
      <c r="R63" s="23"/>
      <c r="S63" s="31"/>
      <c r="T63" s="31"/>
      <c r="U63" s="13"/>
      <c r="V63" s="161"/>
      <c r="W63" s="13"/>
      <c r="X63" s="23"/>
      <c r="Y63" s="23"/>
      <c r="Z63" s="4"/>
      <c r="AA63" s="4"/>
      <c r="AB63" s="4"/>
      <c r="AC63" s="4"/>
      <c r="AD63" s="21"/>
      <c r="AE63" s="214" t="s">
        <v>353</v>
      </c>
      <c r="AF63" s="221" t="s">
        <v>369</v>
      </c>
      <c r="AG63" s="13"/>
      <c r="AH63" s="9"/>
    </row>
    <row r="64" spans="1:34" ht="12.75">
      <c r="A64" s="1"/>
      <c r="B64" s="30"/>
      <c r="C64" s="30"/>
      <c r="D64" s="28"/>
      <c r="E64" s="28"/>
      <c r="F64" s="28"/>
      <c r="G64" s="149"/>
      <c r="H64" s="150"/>
      <c r="I64" s="5"/>
      <c r="J64" s="5"/>
      <c r="K64" s="5"/>
      <c r="L64" s="7"/>
      <c r="M64" s="7"/>
      <c r="N64" s="5"/>
      <c r="O64" s="5"/>
      <c r="P64" s="148"/>
      <c r="Q64" s="5"/>
      <c r="R64" s="23"/>
      <c r="S64" s="31"/>
      <c r="T64" s="31"/>
      <c r="U64" s="13"/>
      <c r="V64" s="161"/>
      <c r="W64" s="13"/>
      <c r="X64" s="23"/>
      <c r="Y64" s="23"/>
      <c r="Z64" s="5"/>
      <c r="AA64" s="5"/>
      <c r="AB64" s="5"/>
      <c r="AC64" s="5"/>
      <c r="AD64" s="22"/>
      <c r="AE64" s="22"/>
      <c r="AF64" s="22"/>
      <c r="AG64" s="13"/>
      <c r="AH64" s="18"/>
    </row>
    <row r="65" spans="2:34" ht="12.75">
      <c r="B65" s="30"/>
      <c r="C65" s="30"/>
      <c r="D65" s="28"/>
      <c r="E65" s="28"/>
      <c r="F65" s="28"/>
      <c r="G65" s="149"/>
      <c r="H65" s="149"/>
      <c r="I65" s="5"/>
      <c r="J65" s="5"/>
      <c r="K65" s="5"/>
      <c r="L65" s="7"/>
      <c r="M65" s="6"/>
      <c r="N65" s="4"/>
      <c r="O65" s="4"/>
      <c r="P65" s="148"/>
      <c r="Q65" s="4"/>
      <c r="R65" s="23"/>
      <c r="S65" s="31"/>
      <c r="T65" s="31"/>
      <c r="U65" s="13"/>
      <c r="V65" s="161"/>
      <c r="W65" s="13"/>
      <c r="X65" s="23"/>
      <c r="Y65" s="23"/>
      <c r="Z65" s="4"/>
      <c r="AA65" s="4"/>
      <c r="AB65" s="4"/>
      <c r="AC65" s="4"/>
      <c r="AD65" s="21"/>
      <c r="AE65" s="21"/>
      <c r="AF65" s="21"/>
      <c r="AG65" s="13"/>
      <c r="AH65" s="9"/>
    </row>
    <row r="66" spans="2:34" ht="12.75">
      <c r="B66" s="30"/>
      <c r="C66" s="30"/>
      <c r="D66" s="28"/>
      <c r="E66" s="28"/>
      <c r="F66" s="28"/>
      <c r="G66" s="149"/>
      <c r="H66" s="149"/>
      <c r="I66" s="5"/>
      <c r="J66" s="5"/>
      <c r="K66" s="5"/>
      <c r="L66" s="7"/>
      <c r="M66" s="6"/>
      <c r="N66" s="4"/>
      <c r="O66" s="4"/>
      <c r="P66" s="148"/>
      <c r="Q66" s="4"/>
      <c r="R66" s="23"/>
      <c r="S66" s="31"/>
      <c r="T66" s="31"/>
      <c r="U66" s="13"/>
      <c r="V66" s="161"/>
      <c r="W66" s="13"/>
      <c r="X66" s="23"/>
      <c r="Y66" s="23"/>
      <c r="Z66" s="4"/>
      <c r="AA66" s="4"/>
      <c r="AB66" s="4"/>
      <c r="AC66" s="4"/>
      <c r="AD66" s="21"/>
      <c r="AE66" s="21"/>
      <c r="AF66" s="21"/>
      <c r="AG66" s="13"/>
      <c r="AH66" s="9"/>
    </row>
    <row r="67" spans="2:34" ht="12.75">
      <c r="B67" s="30"/>
      <c r="C67" s="30"/>
      <c r="D67" s="28"/>
      <c r="E67" s="28"/>
      <c r="F67" s="28"/>
      <c r="G67" s="149"/>
      <c r="H67" s="149"/>
      <c r="I67" s="5"/>
      <c r="J67" s="5"/>
      <c r="K67" s="5"/>
      <c r="L67" s="7"/>
      <c r="M67" s="6"/>
      <c r="N67" s="4"/>
      <c r="O67" s="4"/>
      <c r="P67" s="148"/>
      <c r="Q67" s="4"/>
      <c r="R67" s="23"/>
      <c r="S67" s="31"/>
      <c r="T67" s="31"/>
      <c r="U67" s="13"/>
      <c r="V67" s="161"/>
      <c r="W67" s="13"/>
      <c r="X67" s="23"/>
      <c r="Y67" s="23"/>
      <c r="Z67" s="4"/>
      <c r="AA67" s="4"/>
      <c r="AB67" s="4"/>
      <c r="AC67" s="4"/>
      <c r="AD67" s="21"/>
      <c r="AE67" s="21"/>
      <c r="AF67" s="21"/>
      <c r="AG67" s="13"/>
      <c r="AH67" s="8"/>
    </row>
    <row r="68" spans="2:34" ht="12.75">
      <c r="B68" s="30"/>
      <c r="C68" s="30"/>
      <c r="D68" s="29"/>
      <c r="E68" s="29"/>
      <c r="F68" s="29"/>
      <c r="G68" s="29"/>
      <c r="H68" s="149"/>
      <c r="I68" s="5"/>
      <c r="J68" s="5"/>
      <c r="K68" s="5"/>
      <c r="L68" s="7"/>
      <c r="M68" s="6"/>
      <c r="N68" s="4"/>
      <c r="O68" s="4"/>
      <c r="P68" s="148"/>
      <c r="Q68" s="4"/>
      <c r="R68" s="23"/>
      <c r="S68" s="31"/>
      <c r="T68" s="31"/>
      <c r="U68" s="13"/>
      <c r="V68" s="161"/>
      <c r="W68" s="13"/>
      <c r="X68" s="23"/>
      <c r="Y68" s="23"/>
      <c r="Z68" s="4"/>
      <c r="AA68" s="4"/>
      <c r="AB68" s="4"/>
      <c r="AC68" s="4"/>
      <c r="AD68" s="21"/>
      <c r="AE68" s="21"/>
      <c r="AF68" s="21"/>
      <c r="AG68" s="13"/>
      <c r="AH68" s="8"/>
    </row>
    <row r="69" spans="1:34" ht="12.75">
      <c r="A69" s="1"/>
      <c r="B69" s="30"/>
      <c r="C69" s="30"/>
      <c r="D69" s="28"/>
      <c r="E69" s="28"/>
      <c r="F69" s="28"/>
      <c r="G69" s="14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4"/>
      <c r="AA69" s="4"/>
      <c r="AB69" s="4"/>
      <c r="AC69" s="4"/>
      <c r="AD69" s="21"/>
      <c r="AE69" s="21"/>
      <c r="AF69" s="21"/>
      <c r="AG69" s="13"/>
      <c r="AH69" s="8"/>
    </row>
    <row r="70" spans="2:34" ht="12.75"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4"/>
      <c r="AA70" s="4"/>
      <c r="AB70" s="4"/>
      <c r="AC70" s="4"/>
      <c r="AD70" s="21"/>
      <c r="AE70" s="21"/>
      <c r="AF70" s="21"/>
      <c r="AG70" s="13"/>
      <c r="AH70" s="8"/>
    </row>
    <row r="71" spans="2:34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4"/>
      <c r="AA71" s="4"/>
      <c r="AB71" s="4"/>
      <c r="AC71" s="4"/>
      <c r="AD71" s="21"/>
      <c r="AE71" s="21"/>
      <c r="AF71" s="21"/>
      <c r="AG71" s="13"/>
      <c r="AH71" s="8"/>
    </row>
    <row r="72" spans="2:34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4"/>
      <c r="AA72" s="4"/>
      <c r="AB72" s="4"/>
      <c r="AC72" s="4"/>
      <c r="AD72" s="21"/>
      <c r="AE72" s="21"/>
      <c r="AF72" s="21"/>
      <c r="AG72" s="13"/>
      <c r="AH72" s="8"/>
    </row>
    <row r="73" spans="2:34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4"/>
      <c r="AA73" s="4"/>
      <c r="AB73" s="4"/>
      <c r="AC73" s="4"/>
      <c r="AD73" s="21"/>
      <c r="AE73" s="21"/>
      <c r="AF73" s="21"/>
      <c r="AG73" s="13"/>
      <c r="AH73" s="8"/>
    </row>
    <row r="74" spans="1:34" ht="12.75">
      <c r="A74" s="74" t="s">
        <v>74</v>
      </c>
      <c r="B74" s="59" t="s">
        <v>76</v>
      </c>
      <c r="C74" s="54" t="s">
        <v>41</v>
      </c>
      <c r="D74" s="44">
        <v>1</v>
      </c>
      <c r="E74" s="44">
        <v>50</v>
      </c>
      <c r="F74" s="55"/>
      <c r="G74" s="86"/>
      <c r="H74" s="85"/>
      <c r="I74" s="46">
        <f>D74*(E74+F74+G74+H74)</f>
        <v>50</v>
      </c>
      <c r="J74" s="46"/>
      <c r="K74" s="46"/>
      <c r="L74" s="46">
        <v>50</v>
      </c>
      <c r="M74" s="92" t="s">
        <v>94</v>
      </c>
      <c r="N74" s="78">
        <f>-I74+L74</f>
        <v>0</v>
      </c>
      <c r="O74" s="78"/>
      <c r="P74" s="81">
        <v>50</v>
      </c>
      <c r="Q74" s="94" t="s">
        <v>114</v>
      </c>
      <c r="R74" s="95">
        <f>-L74+P74</f>
        <v>0</v>
      </c>
      <c r="S74" s="50" t="s">
        <v>31</v>
      </c>
      <c r="T74" s="50"/>
      <c r="U74" s="93"/>
      <c r="V74" s="105"/>
      <c r="W74" s="93"/>
      <c r="X74" s="41"/>
      <c r="Y74" s="41"/>
      <c r="Z74" s="80"/>
      <c r="AA74" s="80"/>
      <c r="AB74" s="80"/>
      <c r="AC74" s="80"/>
      <c r="AD74" s="52"/>
      <c r="AE74" s="52"/>
      <c r="AF74" s="52"/>
      <c r="AG74" s="93"/>
      <c r="AH74" s="9"/>
    </row>
    <row r="75" spans="1:34" ht="12.75">
      <c r="A75" s="74" t="s">
        <v>75</v>
      </c>
      <c r="B75" s="59" t="s">
        <v>76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94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80"/>
      <c r="AA75" s="80"/>
      <c r="AB75" s="80"/>
      <c r="AC75" s="80"/>
      <c r="AD75" s="52"/>
      <c r="AE75" s="52"/>
      <c r="AF75" s="52"/>
      <c r="AG75" s="93"/>
      <c r="AH75" s="9"/>
    </row>
    <row r="76" spans="2:34" ht="12.75">
      <c r="B76" s="30"/>
      <c r="C76" s="30"/>
      <c r="D76" s="28"/>
      <c r="E76" s="28"/>
      <c r="F76" s="28"/>
      <c r="G76" s="149"/>
      <c r="H76" s="149"/>
      <c r="I76" s="5"/>
      <c r="J76" s="5"/>
      <c r="K76" s="5"/>
      <c r="L76" s="7"/>
      <c r="M76" s="6"/>
      <c r="N76" s="4"/>
      <c r="O76" s="4"/>
      <c r="P76" s="148"/>
      <c r="Q76" s="4"/>
      <c r="R76" s="23"/>
      <c r="S76" s="31"/>
      <c r="T76" s="31"/>
      <c r="U76" s="13"/>
      <c r="V76" s="161"/>
      <c r="W76" s="13"/>
      <c r="X76" s="23"/>
      <c r="Y76" s="23"/>
      <c r="Z76" s="4"/>
      <c r="AA76" s="4"/>
      <c r="AB76" s="4"/>
      <c r="AC76" s="4"/>
      <c r="AD76" s="21"/>
      <c r="AE76" s="21"/>
      <c r="AF76" s="21"/>
      <c r="AG76" s="13"/>
      <c r="AH76" s="8"/>
    </row>
    <row r="77" spans="2:34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4"/>
      <c r="AA77" s="4"/>
      <c r="AB77" s="4"/>
      <c r="AC77" s="4"/>
      <c r="AD77" s="21"/>
      <c r="AE77" s="21"/>
      <c r="AF77" s="21"/>
      <c r="AG77" s="13"/>
      <c r="AH77" s="8"/>
    </row>
    <row r="78" spans="2:34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4"/>
      <c r="AA78" s="4"/>
      <c r="AB78" s="4"/>
      <c r="AC78" s="4"/>
      <c r="AD78" s="21"/>
      <c r="AE78" s="21"/>
      <c r="AF78" s="21"/>
      <c r="AG78" s="13"/>
      <c r="AH78" s="8"/>
    </row>
    <row r="79" spans="2:34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4"/>
      <c r="AA79" s="4"/>
      <c r="AB79" s="4"/>
      <c r="AC79" s="4"/>
      <c r="AD79" s="21"/>
      <c r="AE79" s="21"/>
      <c r="AF79" s="21"/>
      <c r="AG79" s="13"/>
      <c r="AH79" s="8"/>
    </row>
    <row r="80" spans="2:34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4"/>
      <c r="AA80" s="4"/>
      <c r="AB80" s="4"/>
      <c r="AC80" s="4"/>
      <c r="AD80" s="21"/>
      <c r="AE80" s="21"/>
      <c r="AF80" s="21"/>
      <c r="AG80" s="13"/>
      <c r="AH80" s="8"/>
    </row>
    <row r="81" spans="2:34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4"/>
      <c r="AA81" s="4"/>
      <c r="AB81" s="4"/>
      <c r="AC81" s="4"/>
      <c r="AD81" s="21"/>
      <c r="AE81" s="21"/>
      <c r="AF81" s="21"/>
      <c r="AG81" s="13"/>
      <c r="AH81" s="8"/>
    </row>
    <row r="82" spans="2:34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4"/>
      <c r="AA82" s="4"/>
      <c r="AB82" s="4"/>
      <c r="AC82" s="4"/>
      <c r="AD82" s="21"/>
      <c r="AE82" s="21"/>
      <c r="AF82" s="21"/>
      <c r="AG82" s="13"/>
      <c r="AH82" s="8"/>
    </row>
    <row r="83" spans="1:34" ht="12.75">
      <c r="A83" s="1"/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4"/>
      <c r="AA83" s="4"/>
      <c r="AB83" s="4"/>
      <c r="AC83" s="4"/>
      <c r="AD83" s="21"/>
      <c r="AE83" s="21"/>
      <c r="AF83" s="21"/>
      <c r="AG83" s="13"/>
      <c r="AH83" s="8"/>
    </row>
    <row r="84" spans="2:34" ht="12.75"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4"/>
      <c r="AA84" s="4"/>
      <c r="AB84" s="4"/>
      <c r="AC84" s="4"/>
      <c r="AD84" s="21"/>
      <c r="AE84" s="21"/>
      <c r="AF84" s="21"/>
      <c r="AG84" s="13"/>
      <c r="AH84" s="8"/>
    </row>
    <row r="85" spans="2:34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4"/>
      <c r="AA85" s="4"/>
      <c r="AB85" s="4"/>
      <c r="AC85" s="4"/>
      <c r="AD85" s="21"/>
      <c r="AE85" s="21"/>
      <c r="AF85" s="21"/>
      <c r="AG85" s="13"/>
      <c r="AH85" s="8"/>
    </row>
    <row r="86" spans="2:34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4"/>
      <c r="AA86" s="4"/>
      <c r="AB86" s="4"/>
      <c r="AC86" s="4"/>
      <c r="AD86" s="21"/>
      <c r="AE86" s="21"/>
      <c r="AF86" s="21"/>
      <c r="AG86" s="13"/>
      <c r="AH86" s="8"/>
    </row>
    <row r="87" spans="2:34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4"/>
      <c r="AA87" s="4"/>
      <c r="AB87" s="4"/>
      <c r="AC87" s="4"/>
      <c r="AD87" s="21"/>
      <c r="AE87" s="21"/>
      <c r="AF87" s="21"/>
      <c r="AG87" s="13"/>
      <c r="AH87" s="8"/>
    </row>
    <row r="88" spans="2:34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4"/>
      <c r="AA88" s="4"/>
      <c r="AB88" s="4"/>
      <c r="AC88" s="4"/>
      <c r="AD88" s="21"/>
      <c r="AE88" s="21"/>
      <c r="AF88" s="21"/>
      <c r="AG88" s="13"/>
      <c r="AH88" s="8"/>
    </row>
    <row r="89" spans="2:34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4"/>
      <c r="AA89" s="4"/>
      <c r="AB89" s="4"/>
      <c r="AC89" s="4"/>
      <c r="AD89" s="21"/>
      <c r="AE89" s="21"/>
      <c r="AF89" s="21"/>
      <c r="AG89" s="13"/>
      <c r="AH89" s="8"/>
    </row>
    <row r="90" spans="2:34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4"/>
      <c r="AA90" s="4"/>
      <c r="AB90" s="4"/>
      <c r="AC90" s="4"/>
      <c r="AD90" s="21"/>
      <c r="AE90" s="21"/>
      <c r="AF90" s="21"/>
      <c r="AG90" s="13"/>
      <c r="AH90" s="8"/>
    </row>
    <row r="91" spans="2:34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4"/>
      <c r="AA91" s="4"/>
      <c r="AB91" s="4"/>
      <c r="AC91" s="4"/>
      <c r="AD91" s="21"/>
      <c r="AE91" s="21"/>
      <c r="AF91" s="21"/>
      <c r="AG91" s="13"/>
      <c r="AH91" s="8"/>
    </row>
    <row r="92" spans="2:34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4"/>
      <c r="AA92" s="4"/>
      <c r="AB92" s="4"/>
      <c r="AC92" s="4"/>
      <c r="AD92" s="21"/>
      <c r="AE92" s="21"/>
      <c r="AF92" s="21"/>
      <c r="AG92" s="13"/>
      <c r="AH92" s="8"/>
    </row>
    <row r="93" spans="2:34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4"/>
      <c r="AA93" s="4"/>
      <c r="AB93" s="4"/>
      <c r="AC93" s="4"/>
      <c r="AD93" s="21"/>
      <c r="AE93" s="21"/>
      <c r="AF93" s="21"/>
      <c r="AG93" s="13"/>
      <c r="AH93" s="8"/>
    </row>
    <row r="94" spans="2:34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4"/>
      <c r="AA94" s="4"/>
      <c r="AB94" s="4"/>
      <c r="AC94" s="4"/>
      <c r="AD94" s="21"/>
      <c r="AE94" s="21"/>
      <c r="AF94" s="21"/>
      <c r="AG94" s="13"/>
      <c r="AH94" s="8"/>
    </row>
    <row r="95" spans="2:34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4"/>
      <c r="AA95" s="4"/>
      <c r="AB95" s="4"/>
      <c r="AC95" s="4"/>
      <c r="AD95" s="21"/>
      <c r="AE95" s="21"/>
      <c r="AF95" s="21"/>
      <c r="AG95" s="13"/>
      <c r="AH95" s="8"/>
    </row>
    <row r="96" spans="2:34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4"/>
      <c r="AA96" s="4"/>
      <c r="AB96" s="4"/>
      <c r="AC96" s="4"/>
      <c r="AD96" s="21"/>
      <c r="AE96" s="21"/>
      <c r="AF96" s="21"/>
      <c r="AG96" s="13"/>
      <c r="AH96" s="8"/>
    </row>
    <row r="97" spans="2:34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4"/>
      <c r="AA97" s="4"/>
      <c r="AB97" s="4"/>
      <c r="AC97" s="4"/>
      <c r="AD97" s="21"/>
      <c r="AE97" s="21"/>
      <c r="AF97" s="21"/>
      <c r="AG97" s="13"/>
      <c r="AH97" s="8"/>
    </row>
    <row r="98" spans="16:22" ht="12.75">
      <c r="P98" s="15"/>
      <c r="V98" s="15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ht="12.75">
      <c r="P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2" t="s">
        <v>293</v>
      </c>
      <c r="B1"/>
      <c r="C1" t="s">
        <v>295</v>
      </c>
      <c r="D1" t="s">
        <v>294</v>
      </c>
      <c r="E1" t="s">
        <v>294</v>
      </c>
      <c r="F1"/>
      <c r="G1" t="s">
        <v>294</v>
      </c>
      <c r="H1" t="s">
        <v>294</v>
      </c>
      <c r="I1"/>
      <c r="J1" t="s">
        <v>301</v>
      </c>
      <c r="K1" t="s">
        <v>315</v>
      </c>
      <c r="L1" t="s">
        <v>315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2" t="s">
        <v>129</v>
      </c>
      <c r="E2" s="143" t="s">
        <v>137</v>
      </c>
      <c r="F2"/>
      <c r="G2" s="182" t="s">
        <v>129</v>
      </c>
      <c r="H2" s="143" t="s">
        <v>137</v>
      </c>
      <c r="I2" t="s">
        <v>135</v>
      </c>
      <c r="J2"/>
      <c r="K2" s="182" t="s">
        <v>129</v>
      </c>
      <c r="L2" s="143" t="s">
        <v>137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302</v>
      </c>
      <c r="E3"/>
      <c r="F3"/>
      <c r="G3" t="s">
        <v>303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292</v>
      </c>
      <c r="C4"/>
      <c r="D4" s="184"/>
      <c r="E4" s="184"/>
      <c r="F4" s="146" t="s">
        <v>92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84"/>
      <c r="E5" s="18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84"/>
      <c r="E6" s="18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84"/>
      <c r="E7" s="18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84"/>
      <c r="E8" s="18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84"/>
      <c r="E9" s="18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84"/>
      <c r="E10" s="18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84"/>
      <c r="E11" s="18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84">
        <v>2200</v>
      </c>
      <c r="E12" s="184">
        <v>0</v>
      </c>
      <c r="F12"/>
      <c r="G12">
        <v>2200</v>
      </c>
      <c r="H12">
        <v>0</v>
      </c>
      <c r="I12" t="s">
        <v>92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83" t="s">
        <v>307</v>
      </c>
      <c r="D22" s="142">
        <f>SUM(D12:D21)</f>
        <v>12196</v>
      </c>
      <c r="E22" s="142">
        <f>SUM(E12:E21)</f>
        <v>5473</v>
      </c>
      <c r="F22"/>
      <c r="G22" s="146">
        <f>SUM(G12:G21)</f>
        <v>12162</v>
      </c>
      <c r="H22" s="146">
        <f>SUM(H12:H21)</f>
        <v>5723</v>
      </c>
      <c r="I22" s="146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59" t="s">
        <v>298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305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300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59" t="s">
        <v>298</v>
      </c>
      <c r="D26" s="159"/>
      <c r="E26" s="159"/>
      <c r="F26" s="159"/>
      <c r="G26" s="159">
        <f>5537+8245</f>
        <v>13782</v>
      </c>
      <c r="H26" s="159">
        <f>2503+2720</f>
        <v>5223</v>
      </c>
      <c r="I26" s="179" t="s">
        <v>304</v>
      </c>
      <c r="J26" s="82"/>
      <c r="K26" s="182">
        <f>G26/4</f>
        <v>3445.5</v>
      </c>
      <c r="L26" s="182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 t="s">
        <v>368</v>
      </c>
      <c r="D28"/>
      <c r="E28"/>
      <c r="F28"/>
      <c r="G28">
        <f>G24-G26</f>
        <v>1451</v>
      </c>
      <c r="H28">
        <f>H24-H26</f>
        <v>2524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6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183</v>
      </c>
      <c r="C1" t="s">
        <v>184</v>
      </c>
      <c r="D1" s="146" t="s">
        <v>185</v>
      </c>
      <c r="E1" s="143" t="s">
        <v>186</v>
      </c>
      <c r="F1" s="143" t="s">
        <v>187</v>
      </c>
      <c r="G1" t="s">
        <v>188</v>
      </c>
      <c r="H1" t="s">
        <v>189</v>
      </c>
      <c r="I1" t="s">
        <v>183</v>
      </c>
      <c r="J1" s="146" t="s">
        <v>190</v>
      </c>
      <c r="K1" t="s">
        <v>198</v>
      </c>
      <c r="L1" s="143" t="s">
        <v>186</v>
      </c>
      <c r="M1" s="143" t="s">
        <v>187</v>
      </c>
      <c r="N1" t="s">
        <v>188</v>
      </c>
      <c r="O1" t="s">
        <v>203</v>
      </c>
      <c r="P1" t="s">
        <v>183</v>
      </c>
      <c r="Q1" t="s">
        <v>184</v>
      </c>
      <c r="R1" s="144" t="s">
        <v>185</v>
      </c>
    </row>
    <row r="2" spans="1:17" ht="12.75">
      <c r="A2" s="144" t="s">
        <v>210</v>
      </c>
      <c r="B2" s="142" t="s">
        <v>191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211</v>
      </c>
      <c r="B3" s="142"/>
      <c r="C3" s="142" t="s">
        <v>192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212</v>
      </c>
      <c r="B4" s="142"/>
      <c r="C4" s="142"/>
      <c r="D4" s="146" t="s">
        <v>193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195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194</v>
      </c>
      <c r="I6" s="142"/>
      <c r="K6" s="142"/>
      <c r="N6" s="142"/>
      <c r="O6" s="142"/>
      <c r="P6" s="142"/>
      <c r="Q6" s="142"/>
    </row>
    <row r="7" spans="2:18" ht="12.75">
      <c r="B7" s="142" t="s">
        <v>214</v>
      </c>
      <c r="C7" s="142" t="s">
        <v>214</v>
      </c>
      <c r="D7" s="146" t="s">
        <v>214</v>
      </c>
      <c r="E7" s="142"/>
      <c r="F7" s="142"/>
      <c r="G7" s="142" t="s">
        <v>214</v>
      </c>
      <c r="H7" s="142" t="s">
        <v>213</v>
      </c>
      <c r="I7" s="142" t="s">
        <v>196</v>
      </c>
      <c r="K7" s="142" t="s">
        <v>222</v>
      </c>
      <c r="N7" s="142" t="s">
        <v>199</v>
      </c>
      <c r="O7" s="142"/>
      <c r="P7" s="142"/>
      <c r="Q7" s="142"/>
      <c r="R7" s="144" t="s">
        <v>204</v>
      </c>
    </row>
    <row r="8" spans="2:17" ht="12.75">
      <c r="B8" s="142"/>
      <c r="C8" s="142"/>
      <c r="E8" s="142"/>
      <c r="F8" s="142"/>
      <c r="G8" s="142"/>
      <c r="H8" s="145" t="s">
        <v>215</v>
      </c>
      <c r="I8" s="142"/>
      <c r="K8" s="142" t="s">
        <v>197</v>
      </c>
      <c r="N8" s="142" t="s">
        <v>200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201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202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219</v>
      </c>
    </row>
    <row r="13" spans="2:20" ht="12.75">
      <c r="B13" t="s">
        <v>205</v>
      </c>
      <c r="T13" s="145" t="s">
        <v>220</v>
      </c>
    </row>
    <row r="14" spans="2:3" ht="12.75">
      <c r="B14" t="s">
        <v>206</v>
      </c>
      <c r="C14" t="s">
        <v>207</v>
      </c>
    </row>
    <row r="15" spans="4:20" ht="12.75">
      <c r="D15" s="146" t="s">
        <v>208</v>
      </c>
      <c r="T15" s="145" t="s">
        <v>221</v>
      </c>
    </row>
    <row r="16" ht="12.75">
      <c r="G16" t="s">
        <v>209</v>
      </c>
    </row>
    <row r="17" ht="12.75">
      <c r="H17" t="s">
        <v>209</v>
      </c>
    </row>
    <row r="18" ht="12.75">
      <c r="I18" t="s">
        <v>209</v>
      </c>
    </row>
    <row r="20" spans="8:15" ht="12.75">
      <c r="H20" t="s">
        <v>216</v>
      </c>
      <c r="O20" t="s">
        <v>216</v>
      </c>
    </row>
    <row r="21" spans="8:15" ht="12.75">
      <c r="H21" t="s">
        <v>218</v>
      </c>
      <c r="O21" t="s">
        <v>217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2" t="s">
        <v>306</v>
      </c>
      <c r="B1" s="182"/>
    </row>
    <row r="3" spans="1:7" ht="12.75">
      <c r="A3" t="s">
        <v>292</v>
      </c>
      <c r="B3" s="97" t="s">
        <v>308</v>
      </c>
      <c r="C3" t="s">
        <v>294</v>
      </c>
      <c r="D3" t="s">
        <v>310</v>
      </c>
      <c r="E3" t="s">
        <v>309</v>
      </c>
      <c r="G3" t="s">
        <v>315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6" t="s">
        <v>24</v>
      </c>
    </row>
    <row r="17" spans="1:4" ht="12.75">
      <c r="A17">
        <v>15</v>
      </c>
      <c r="C17">
        <v>0</v>
      </c>
      <c r="D17" s="186"/>
    </row>
    <row r="18" spans="1:5" ht="12.75">
      <c r="A18">
        <v>16</v>
      </c>
      <c r="B18">
        <v>18.04</v>
      </c>
      <c r="C18">
        <v>576</v>
      </c>
      <c r="D18" s="186" t="s">
        <v>24</v>
      </c>
      <c r="E18">
        <v>19.04</v>
      </c>
    </row>
    <row r="19" spans="1:4" ht="12.75">
      <c r="A19">
        <v>17</v>
      </c>
      <c r="C19">
        <v>0</v>
      </c>
      <c r="D19" s="186"/>
    </row>
    <row r="20" spans="1:4" ht="12.75">
      <c r="A20">
        <v>18</v>
      </c>
      <c r="C20">
        <v>0</v>
      </c>
      <c r="D20" s="186"/>
    </row>
    <row r="21" spans="1:5" ht="12.75">
      <c r="A21">
        <v>19</v>
      </c>
      <c r="B21">
        <v>9.05</v>
      </c>
      <c r="C21">
        <v>688</v>
      </c>
      <c r="D21" s="186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6" t="s">
        <v>24</v>
      </c>
    </row>
    <row r="23" spans="1:6" ht="12.75">
      <c r="A23">
        <v>21</v>
      </c>
      <c r="B23" s="15">
        <v>23.05</v>
      </c>
      <c r="C23" s="10">
        <v>898</v>
      </c>
      <c r="D23" s="186" t="s">
        <v>24</v>
      </c>
      <c r="E23">
        <v>23.05</v>
      </c>
      <c r="F23" s="10" t="s">
        <v>291</v>
      </c>
    </row>
    <row r="24" spans="1:6" ht="12.75">
      <c r="A24">
        <v>21</v>
      </c>
      <c r="B24">
        <v>26.05</v>
      </c>
      <c r="C24" s="10">
        <v>480</v>
      </c>
      <c r="D24" s="186" t="s">
        <v>24</v>
      </c>
      <c r="E24">
        <v>3.06</v>
      </c>
      <c r="F24" s="10" t="s">
        <v>291</v>
      </c>
    </row>
    <row r="25" spans="1:6" ht="12.75">
      <c r="A25">
        <v>23</v>
      </c>
      <c r="B25">
        <v>7.06</v>
      </c>
      <c r="C25" s="15">
        <v>700</v>
      </c>
      <c r="D25" s="186" t="s">
        <v>24</v>
      </c>
      <c r="E25">
        <v>8.06</v>
      </c>
      <c r="F25" s="194" t="s">
        <v>330</v>
      </c>
    </row>
    <row r="26" spans="2:9" ht="12.75">
      <c r="B26">
        <v>12.06</v>
      </c>
      <c r="C26" s="15">
        <v>689</v>
      </c>
      <c r="D26" s="186" t="s">
        <v>24</v>
      </c>
      <c r="E26">
        <v>14.06</v>
      </c>
      <c r="F26" s="194" t="s">
        <v>362</v>
      </c>
      <c r="I26" t="s">
        <v>367</v>
      </c>
    </row>
    <row r="27" spans="1:9" ht="12.75">
      <c r="A27">
        <v>23</v>
      </c>
      <c r="B27" s="107" t="s">
        <v>338</v>
      </c>
      <c r="C27">
        <f>SUM(C12:C26)</f>
        <v>6726</v>
      </c>
      <c r="D27" s="186" t="s">
        <v>24</v>
      </c>
      <c r="G27">
        <f>C27/2</f>
        <v>3363</v>
      </c>
      <c r="I27" s="223">
        <f>SUM(C23:C26)</f>
        <v>2767</v>
      </c>
    </row>
    <row r="29" spans="1:7" ht="12.75">
      <c r="A29">
        <v>23</v>
      </c>
      <c r="B29" s="159" t="s">
        <v>298</v>
      </c>
      <c r="C29">
        <v>5326</v>
      </c>
      <c r="D29" s="186" t="s">
        <v>24</v>
      </c>
      <c r="E29" s="179" t="s">
        <v>297</v>
      </c>
      <c r="G29">
        <f>C29/2</f>
        <v>2663</v>
      </c>
    </row>
    <row r="31" spans="2:7" ht="12.75">
      <c r="B31" s="159" t="s">
        <v>312</v>
      </c>
      <c r="C31" s="159">
        <v>2019</v>
      </c>
      <c r="D31" s="186" t="s">
        <v>300</v>
      </c>
      <c r="G31">
        <f>C31/2</f>
        <v>1009.5</v>
      </c>
    </row>
    <row r="32" spans="1:7" ht="12.75">
      <c r="A32">
        <v>23</v>
      </c>
      <c r="B32" s="159" t="s">
        <v>298</v>
      </c>
      <c r="C32">
        <f>2019+1903+898+480+700+689</f>
        <v>6689</v>
      </c>
      <c r="D32" s="186" t="s">
        <v>300</v>
      </c>
      <c r="E32" s="10" t="s">
        <v>331</v>
      </c>
      <c r="G32" s="182">
        <f>C32/2</f>
        <v>3344.5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2" t="s">
        <v>311</v>
      </c>
      <c r="I4" t="s">
        <v>315</v>
      </c>
    </row>
    <row r="11" spans="2:8" ht="12.75">
      <c r="B11" s="43" t="s">
        <v>131</v>
      </c>
      <c r="C11" s="97" t="s">
        <v>132</v>
      </c>
      <c r="D11" s="41" t="s">
        <v>133</v>
      </c>
      <c r="E11" s="41" t="s">
        <v>136</v>
      </c>
      <c r="F11" s="41" t="s">
        <v>134</v>
      </c>
      <c r="G11" s="41" t="s">
        <v>135</v>
      </c>
      <c r="H11" s="185" t="s">
        <v>292</v>
      </c>
    </row>
    <row r="12" spans="1:7" ht="12.75">
      <c r="A12" t="s">
        <v>223</v>
      </c>
      <c r="B12" s="176" t="s">
        <v>129</v>
      </c>
      <c r="C12" s="176"/>
      <c r="D12" s="176"/>
      <c r="E12" s="176"/>
      <c r="F12" s="176"/>
      <c r="G12" s="176"/>
    </row>
    <row r="13" spans="1:7" ht="12.75">
      <c r="A13">
        <f>SUM(D15:D19,D52,D63:D64)</f>
        <v>47444</v>
      </c>
      <c r="B13" s="41"/>
      <c r="C13" s="41" t="s">
        <v>141</v>
      </c>
      <c r="D13" s="41">
        <v>9300</v>
      </c>
      <c r="E13" s="41"/>
      <c r="F13" s="41">
        <v>9170</v>
      </c>
      <c r="G13" s="41"/>
    </row>
    <row r="14" spans="1:7" ht="12.75">
      <c r="A14" t="s">
        <v>224</v>
      </c>
      <c r="B14" s="41"/>
      <c r="C14" s="41"/>
      <c r="D14" s="41"/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139</v>
      </c>
      <c r="D15" s="41">
        <v>14600</v>
      </c>
      <c r="E15" s="41" t="s">
        <v>92</v>
      </c>
      <c r="F15" s="82">
        <f>2340+6000+114+7370</f>
        <v>15824</v>
      </c>
      <c r="G15" s="41" t="s">
        <v>107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145</v>
      </c>
      <c r="C18" s="41" t="s">
        <v>130</v>
      </c>
      <c r="D18" s="41">
        <v>10000</v>
      </c>
      <c r="E18" s="41" t="s">
        <v>92</v>
      </c>
      <c r="F18" s="82">
        <v>10000</v>
      </c>
      <c r="G18" s="41" t="s">
        <v>107</v>
      </c>
      <c r="H18">
        <v>4</v>
      </c>
    </row>
    <row r="19" spans="2:8" ht="12.75">
      <c r="B19" s="41"/>
      <c r="C19" s="41" t="s">
        <v>142</v>
      </c>
      <c r="D19" s="41">
        <v>10740</v>
      </c>
      <c r="E19" s="41" t="s">
        <v>92</v>
      </c>
      <c r="F19" s="82"/>
      <c r="G19" s="41"/>
      <c r="H19">
        <v>5</v>
      </c>
    </row>
    <row r="20" spans="2:10" ht="12.75">
      <c r="B20" s="41" t="s">
        <v>143</v>
      </c>
      <c r="C20" s="41" t="s">
        <v>144</v>
      </c>
      <c r="D20" s="41">
        <v>11170</v>
      </c>
      <c r="E20" s="41" t="s">
        <v>92</v>
      </c>
      <c r="F20" s="82"/>
      <c r="G20" s="41"/>
      <c r="H20">
        <v>5</v>
      </c>
      <c r="J20" t="s">
        <v>159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158</v>
      </c>
      <c r="C22" s="41" t="s">
        <v>157</v>
      </c>
      <c r="D22" s="41">
        <v>12730</v>
      </c>
      <c r="E22" s="41" t="s">
        <v>92</v>
      </c>
      <c r="F22" s="82"/>
      <c r="G22" s="41"/>
      <c r="H22">
        <v>7</v>
      </c>
      <c r="J22" t="s">
        <v>160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161</v>
      </c>
      <c r="C24" s="41" t="s">
        <v>163</v>
      </c>
      <c r="D24" s="41">
        <v>15100</v>
      </c>
      <c r="E24" s="41" t="s">
        <v>92</v>
      </c>
      <c r="F24" s="82"/>
      <c r="G24" s="41"/>
      <c r="H24">
        <v>9</v>
      </c>
    </row>
    <row r="25" spans="1:8" ht="12.75">
      <c r="A25" t="s">
        <v>254</v>
      </c>
      <c r="B25" s="41" t="s">
        <v>162</v>
      </c>
      <c r="C25" s="41" t="s">
        <v>225</v>
      </c>
      <c r="D25" s="41">
        <v>13230</v>
      </c>
      <c r="E25" s="41" t="s">
        <v>92</v>
      </c>
      <c r="F25" s="82"/>
      <c r="G25" s="41"/>
      <c r="H25">
        <v>9</v>
      </c>
    </row>
    <row r="26" spans="2:8" ht="12.75">
      <c r="B26" s="41" t="s">
        <v>226</v>
      </c>
      <c r="C26" s="41" t="s">
        <v>227</v>
      </c>
      <c r="D26" s="41">
        <v>15330</v>
      </c>
      <c r="E26" s="41" t="s">
        <v>92</v>
      </c>
      <c r="F26" s="82"/>
      <c r="G26" s="41"/>
      <c r="H26">
        <v>10</v>
      </c>
    </row>
    <row r="27" spans="2:8" ht="12.75">
      <c r="B27" s="41" t="s">
        <v>250</v>
      </c>
      <c r="C27" s="41" t="s">
        <v>251</v>
      </c>
      <c r="D27" s="41">
        <v>18380</v>
      </c>
      <c r="E27" s="41" t="s">
        <v>92</v>
      </c>
      <c r="F27" s="82"/>
      <c r="G27" s="41"/>
      <c r="H27">
        <v>11</v>
      </c>
    </row>
    <row r="28" spans="2:8" ht="12.75">
      <c r="B28" s="41" t="s">
        <v>252</v>
      </c>
      <c r="C28" s="41" t="s">
        <v>266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265</v>
      </c>
      <c r="C29" s="41" t="s">
        <v>253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278</v>
      </c>
      <c r="B30" s="41" t="s">
        <v>267</v>
      </c>
      <c r="C30" s="41" t="s">
        <v>273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268</v>
      </c>
      <c r="C32" s="41" t="s">
        <v>274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271</v>
      </c>
      <c r="C33" s="41" t="s">
        <v>272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279</v>
      </c>
      <c r="B34" s="41" t="s">
        <v>276</v>
      </c>
      <c r="C34" s="41" t="s">
        <v>277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282</v>
      </c>
      <c r="C35" s="41" t="s">
        <v>283</v>
      </c>
      <c r="D35" s="41">
        <v>25000</v>
      </c>
      <c r="E35" s="41" t="s">
        <v>24</v>
      </c>
      <c r="F35" s="82"/>
      <c r="G35" s="41" t="s">
        <v>287</v>
      </c>
      <c r="H35">
        <v>19</v>
      </c>
    </row>
    <row r="36" spans="2:8" ht="12.75">
      <c r="B36" s="179" t="s">
        <v>284</v>
      </c>
      <c r="C36" s="41" t="s">
        <v>285</v>
      </c>
      <c r="D36" s="179">
        <v>25000</v>
      </c>
      <c r="E36" s="41" t="s">
        <v>24</v>
      </c>
      <c r="F36" s="179" t="s">
        <v>291</v>
      </c>
      <c r="G36" s="41" t="s">
        <v>286</v>
      </c>
      <c r="H36">
        <v>20</v>
      </c>
    </row>
    <row r="37" spans="2:8" ht="12.75">
      <c r="B37" s="179"/>
      <c r="C37" s="41"/>
      <c r="D37" s="179">
        <v>0</v>
      </c>
      <c r="E37" s="41"/>
      <c r="F37" s="179"/>
      <c r="G37" s="41"/>
      <c r="H37">
        <v>21</v>
      </c>
    </row>
    <row r="38" spans="2:8" ht="12.75">
      <c r="B38" s="179" t="s">
        <v>288</v>
      </c>
      <c r="C38" s="41" t="s">
        <v>289</v>
      </c>
      <c r="D38" s="179">
        <v>20160</v>
      </c>
      <c r="E38" s="41" t="s">
        <v>24</v>
      </c>
      <c r="F38" s="179" t="s">
        <v>291</v>
      </c>
      <c r="G38" s="41" t="s">
        <v>290</v>
      </c>
      <c r="H38">
        <v>22</v>
      </c>
    </row>
    <row r="39" spans="2:8" ht="12.75">
      <c r="B39" s="179" t="s">
        <v>339</v>
      </c>
      <c r="C39" s="41" t="s">
        <v>289</v>
      </c>
      <c r="D39" s="179">
        <v>12000</v>
      </c>
      <c r="E39" s="41" t="s">
        <v>24</v>
      </c>
      <c r="F39" s="179" t="s">
        <v>291</v>
      </c>
      <c r="G39" s="41" t="s">
        <v>290</v>
      </c>
      <c r="H39" s="15">
        <v>22</v>
      </c>
    </row>
    <row r="40" spans="2:8" ht="12.75">
      <c r="B40" s="82" t="s">
        <v>340</v>
      </c>
      <c r="C40" s="41" t="s">
        <v>341</v>
      </c>
      <c r="D40" s="184">
        <v>15250</v>
      </c>
      <c r="E40" s="41" t="s">
        <v>24</v>
      </c>
      <c r="F40" s="202" t="s">
        <v>330</v>
      </c>
      <c r="G40" s="41" t="s">
        <v>342</v>
      </c>
      <c r="H40">
        <v>23</v>
      </c>
    </row>
    <row r="41" spans="2:8" ht="12.75">
      <c r="B41" s="82" t="s">
        <v>343</v>
      </c>
      <c r="C41" s="41" t="s">
        <v>341</v>
      </c>
      <c r="D41" s="184">
        <v>9660</v>
      </c>
      <c r="E41" s="41" t="s">
        <v>24</v>
      </c>
      <c r="F41" s="202" t="s">
        <v>330</v>
      </c>
      <c r="G41" s="41" t="s">
        <v>342</v>
      </c>
      <c r="H41">
        <v>23</v>
      </c>
    </row>
    <row r="42" spans="2:8" ht="12.75">
      <c r="B42" s="82" t="s">
        <v>363</v>
      </c>
      <c r="C42" s="41" t="s">
        <v>364</v>
      </c>
      <c r="D42" s="184">
        <v>12400</v>
      </c>
      <c r="E42" s="41" t="s">
        <v>24</v>
      </c>
      <c r="F42" s="202" t="s">
        <v>330</v>
      </c>
      <c r="G42" s="41" t="s">
        <v>365</v>
      </c>
      <c r="H42">
        <v>24</v>
      </c>
    </row>
    <row r="43" spans="2:11" ht="12.75">
      <c r="B43" s="82" t="s">
        <v>366</v>
      </c>
      <c r="C43" s="41" t="s">
        <v>364</v>
      </c>
      <c r="D43" s="184">
        <v>12600</v>
      </c>
      <c r="E43" s="41" t="s">
        <v>24</v>
      </c>
      <c r="F43" s="202" t="s">
        <v>330</v>
      </c>
      <c r="G43" s="41" t="s">
        <v>365</v>
      </c>
      <c r="H43">
        <v>24</v>
      </c>
      <c r="K43" t="s">
        <v>367</v>
      </c>
    </row>
    <row r="44" spans="2:9" ht="12.75">
      <c r="B44" s="107" t="s">
        <v>275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9">
        <f>D44/183</f>
        <v>2226.6939890710382</v>
      </c>
    </row>
    <row r="45" spans="1:7" ht="12.75">
      <c r="A45" t="s">
        <v>296</v>
      </c>
      <c r="B45" s="181"/>
      <c r="C45" s="181"/>
      <c r="D45" s="181"/>
      <c r="E45" s="41"/>
      <c r="F45" s="82"/>
      <c r="G45" s="41"/>
    </row>
    <row r="46" spans="2:7" s="15" customFormat="1" ht="12.75">
      <c r="B46" s="181"/>
      <c r="C46" s="181"/>
      <c r="D46" s="181"/>
      <c r="E46" s="82"/>
      <c r="F46" s="82"/>
      <c r="G46" s="82"/>
    </row>
    <row r="47" spans="2:9" ht="12.75">
      <c r="B47" s="175" t="s">
        <v>298</v>
      </c>
      <c r="C47" s="175"/>
      <c r="D47" s="181">
        <v>347244</v>
      </c>
      <c r="E47" s="41" t="s">
        <v>24</v>
      </c>
      <c r="F47" s="179" t="s">
        <v>297</v>
      </c>
      <c r="G47" s="41"/>
      <c r="I47" s="192">
        <f>D47/183</f>
        <v>1897.5081967213114</v>
      </c>
    </row>
    <row r="48" spans="2:9" ht="12.75">
      <c r="B48" s="175" t="s">
        <v>298</v>
      </c>
      <c r="C48" s="175" t="s">
        <v>283</v>
      </c>
      <c r="D48" s="175">
        <v>169859</v>
      </c>
      <c r="E48" s="41" t="s">
        <v>300</v>
      </c>
      <c r="F48" s="82"/>
      <c r="G48" s="82"/>
      <c r="I48" s="192">
        <f>D48/183</f>
        <v>928.1912568306011</v>
      </c>
    </row>
    <row r="49" spans="2:9" ht="12.75">
      <c r="B49" s="175" t="s">
        <v>298</v>
      </c>
      <c r="C49" s="175"/>
      <c r="D49" s="203">
        <f>346854+9660+15250+12400+12600</f>
        <v>396764</v>
      </c>
      <c r="E49" s="41" t="s">
        <v>300</v>
      </c>
      <c r="F49" s="179" t="s">
        <v>331</v>
      </c>
      <c r="G49" s="82"/>
      <c r="I49" s="193">
        <f>D49/183</f>
        <v>2168.1092896174864</v>
      </c>
    </row>
    <row r="50" spans="2:7" s="15" customFormat="1" ht="12.75">
      <c r="B50" s="181"/>
      <c r="C50" s="181"/>
      <c r="D50" s="181"/>
      <c r="E50" s="82"/>
      <c r="F50" s="82"/>
      <c r="G50" s="82"/>
    </row>
    <row r="51" spans="2:7" ht="12.75">
      <c r="B51" s="176" t="s">
        <v>137</v>
      </c>
      <c r="C51" s="176"/>
      <c r="D51" s="176"/>
      <c r="E51" s="176"/>
      <c r="F51" s="176"/>
      <c r="G51" s="176"/>
    </row>
    <row r="52" spans="2:7" ht="12.75">
      <c r="B52" s="41"/>
      <c r="C52" s="41" t="s">
        <v>139</v>
      </c>
      <c r="D52" s="41">
        <v>948</v>
      </c>
      <c r="E52" s="41" t="s">
        <v>92</v>
      </c>
      <c r="F52" s="82">
        <v>941</v>
      </c>
      <c r="G52" s="41" t="s">
        <v>107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6" t="s">
        <v>138</v>
      </c>
      <c r="C58" s="176"/>
      <c r="D58" s="176"/>
      <c r="E58" s="176"/>
      <c r="F58" s="176"/>
      <c r="G58" s="176"/>
    </row>
    <row r="59" spans="2:7" ht="12.75">
      <c r="B59" s="41"/>
      <c r="C59" s="41" t="s">
        <v>141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140</v>
      </c>
      <c r="D63" s="41">
        <v>606</v>
      </c>
      <c r="E63" s="41" t="s">
        <v>92</v>
      </c>
      <c r="F63" s="82"/>
      <c r="G63" s="41"/>
    </row>
    <row r="64" spans="2:7" ht="12.75">
      <c r="B64" s="41" t="s">
        <v>145</v>
      </c>
      <c r="C64" s="41" t="s">
        <v>130</v>
      </c>
      <c r="D64" s="41">
        <v>10550</v>
      </c>
      <c r="E64" s="41" t="s">
        <v>92</v>
      </c>
      <c r="F64" s="82"/>
      <c r="G64" s="41"/>
    </row>
    <row r="65" spans="2:7" ht="12.75">
      <c r="B65" s="81" t="s">
        <v>299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5" t="s">
        <v>298</v>
      </c>
      <c r="C67" s="175"/>
      <c r="D67" s="175">
        <v>10625</v>
      </c>
      <c r="E67" s="41" t="s">
        <v>24</v>
      </c>
      <c r="F67" s="82"/>
      <c r="G67" s="41"/>
      <c r="I67" s="192">
        <f>D67/6</f>
        <v>1770.8333333333333</v>
      </c>
    </row>
    <row r="68" spans="2:9" ht="12.75">
      <c r="B68" s="175" t="s">
        <v>298</v>
      </c>
      <c r="C68" s="175"/>
      <c r="D68" s="175">
        <v>10604</v>
      </c>
      <c r="E68" s="41" t="s">
        <v>300</v>
      </c>
      <c r="F68" s="82"/>
      <c r="G68" s="41"/>
      <c r="I68" s="193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2006-06-13T08:19:59Z</cp:lastPrinted>
  <dcterms:created xsi:type="dcterms:W3CDTF">2005-04-30T08:59:53Z</dcterms:created>
  <dcterms:modified xsi:type="dcterms:W3CDTF">2006-06-15T17:39:03Z</dcterms:modified>
  <cp:category/>
  <cp:version/>
  <cp:contentType/>
  <cp:contentStatus/>
</cp:coreProperties>
</file>