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00" windowWidth="19080" windowHeight="3645" activeTab="0"/>
  </bookViews>
  <sheets>
    <sheet name="Budget 1_2005" sheetId="1" r:id="rId1"/>
    <sheet name="prix_cables" sheetId="2" r:id="rId2"/>
    <sheet name="Fibre" sheetId="3" r:id="rId3"/>
    <sheet name="Budget 12_2003" sheetId="4" r:id="rId4"/>
    <sheet name="Budget  2_2003" sheetId="5" r:id="rId5"/>
    <sheet name="Budget cables cuivre_2005" sheetId="6" r:id="rId6"/>
    <sheet name="Budget cables cuivre_2002" sheetId="7" r:id="rId7"/>
    <sheet name="ACEM" sheetId="8" r:id="rId8"/>
  </sheets>
  <externalReferences>
    <externalReference r:id="rId11"/>
    <externalReference r:id="rId12"/>
  </externalReferences>
  <definedNames>
    <definedName name="_xlnm.Print_Area" localSheetId="0">'Budget 1_2005'!$A$1:$N$81</definedName>
  </definedNames>
  <calcPr fullCalcOnLoad="1"/>
</workbook>
</file>

<file path=xl/comments1.xml><?xml version="1.0" encoding="utf-8"?>
<comments xmlns="http://schemas.openxmlformats.org/spreadsheetml/2006/main">
  <authors>
    <author>dehning</author>
  </authors>
  <commentList>
    <comment ref="I23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change to 25 190205
</t>
        </r>
      </text>
    </comment>
    <comment ref="J23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to 25 changed 190205
</t>
        </r>
      </text>
    </comment>
    <comment ref="I64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to 25 changed 190205</t>
        </r>
      </text>
    </comment>
  </commentList>
</comments>
</file>

<file path=xl/sharedStrings.xml><?xml version="1.0" encoding="utf-8"?>
<sst xmlns="http://schemas.openxmlformats.org/spreadsheetml/2006/main" count="695" uniqueCount="247">
  <si>
    <t>19/2/2003</t>
  </si>
  <si>
    <t>BLM Ring</t>
  </si>
  <si>
    <t>KFS</t>
  </si>
  <si>
    <t xml:space="preserve">       BLM Total</t>
  </si>
  <si>
    <t>ACEM</t>
  </si>
  <si>
    <t xml:space="preserve">      Front end Q1-Q11</t>
  </si>
  <si>
    <t xml:space="preserve">     Front end Q12-Q34</t>
  </si>
  <si>
    <t>Chamber</t>
  </si>
  <si>
    <t>Chassis</t>
  </si>
  <si>
    <t>Alim</t>
  </si>
  <si>
    <t>Alim HT</t>
  </si>
  <si>
    <t>Ppc, sac,</t>
  </si>
  <si>
    <t>Combiner</t>
  </si>
  <si>
    <t>Acq card</t>
  </si>
  <si>
    <t>(daniel)</t>
  </si>
  <si>
    <t>Acqui.</t>
  </si>
  <si>
    <t>Tg8</t>
  </si>
  <si>
    <t xml:space="preserve"> </t>
  </si>
  <si>
    <t>Point xx</t>
  </si>
  <si>
    <t>384__464</t>
  </si>
  <si>
    <t>18__32</t>
  </si>
  <si>
    <t>LHC</t>
  </si>
  <si>
    <t>Prix/unit.</t>
  </si>
  <si>
    <t>Mecanique</t>
  </si>
  <si>
    <t>Fibres Q1-Q34</t>
  </si>
  <si>
    <t>Electronique</t>
  </si>
  <si>
    <t xml:space="preserve">Fibres spare Q12-Q34 </t>
  </si>
  <si>
    <t>Cables cuivre</t>
  </si>
  <si>
    <t>Termination Q1-Q34</t>
  </si>
  <si>
    <t>150*2</t>
  </si>
  <si>
    <t>Total Fibres</t>
  </si>
  <si>
    <t>Term. spare Q12-Q34</t>
  </si>
  <si>
    <t>Patch cords *2</t>
  </si>
  <si>
    <t>Optical Driver</t>
  </si>
  <si>
    <t>optical receiver</t>
  </si>
  <si>
    <t>TOTAL</t>
  </si>
  <si>
    <t>Surface electronics</t>
  </si>
  <si>
    <t>Tunnel electronics</t>
  </si>
  <si>
    <t>Beam Loss LHC: installation cables demi_octant 1</t>
  </si>
  <si>
    <t>30/5/2002</t>
  </si>
  <si>
    <t>Beam loss LHC: prix installation cables</t>
  </si>
  <si>
    <t>Position</t>
  </si>
  <si>
    <t>Connecteur</t>
  </si>
  <si>
    <t>Cable</t>
  </si>
  <si>
    <t>Cables</t>
  </si>
  <si>
    <t>Pos.</t>
  </si>
  <si>
    <t>Long.</t>
  </si>
  <si>
    <t>Tot</t>
  </si>
  <si>
    <t>Prix/m</t>
  </si>
  <si>
    <t>Tot FS</t>
  </si>
  <si>
    <t>Type cable</t>
  </si>
  <si>
    <t>Longuer</t>
  </si>
  <si>
    <t>Total octant</t>
  </si>
  <si>
    <t>Total LHC</t>
  </si>
  <si>
    <t>Prix total</t>
  </si>
  <si>
    <t>m</t>
  </si>
  <si>
    <t>FS</t>
  </si>
  <si>
    <t>SR 1</t>
  </si>
  <si>
    <t xml:space="preserve">8BPM </t>
  </si>
  <si>
    <t>NF 8</t>
  </si>
  <si>
    <t>UAS 15</t>
  </si>
  <si>
    <t>dump</t>
  </si>
  <si>
    <t>NE 18</t>
  </si>
  <si>
    <t>Analog</t>
  </si>
  <si>
    <t>1HVPF</t>
  </si>
  <si>
    <t>CBH50</t>
  </si>
  <si>
    <t>Patch 1</t>
  </si>
  <si>
    <t>1L --- 34L</t>
  </si>
  <si>
    <t>High Voltage</t>
  </si>
  <si>
    <t>CB 50</t>
  </si>
  <si>
    <t>NF 8(1,2,4,5,6,8)</t>
  </si>
  <si>
    <t>Dump</t>
  </si>
  <si>
    <t xml:space="preserve">     1L--11L (Patch 2)</t>
  </si>
  <si>
    <t>19BPM</t>
  </si>
  <si>
    <t>NG 18</t>
  </si>
  <si>
    <t>Chassis RR 13</t>
  </si>
  <si>
    <t>NF 8(3,7)</t>
  </si>
  <si>
    <t>1L-34L (BL 1 - 6)</t>
  </si>
  <si>
    <t>1N50PMB</t>
  </si>
  <si>
    <t>patch 2--BPLM</t>
  </si>
  <si>
    <t>patch 1--BPLM</t>
  </si>
  <si>
    <t>Total</t>
  </si>
  <si>
    <t>Tot Conn.</t>
  </si>
  <si>
    <t>Prix/conn.</t>
  </si>
  <si>
    <t>Conn.</t>
  </si>
  <si>
    <t>Prix/con.</t>
  </si>
  <si>
    <t>8BPM</t>
  </si>
  <si>
    <t>BNC hv patch 1</t>
  </si>
  <si>
    <t>19BSF patch 2</t>
  </si>
  <si>
    <t>BNC sig patch 2</t>
  </si>
  <si>
    <t>BNC hv patch 2</t>
  </si>
  <si>
    <t>Patch</t>
  </si>
  <si>
    <t>Prix conn</t>
  </si>
  <si>
    <t>Prix</t>
  </si>
  <si>
    <t>boite</t>
  </si>
  <si>
    <t>Tot patch</t>
  </si>
  <si>
    <t>Prix/patch</t>
  </si>
  <si>
    <t>Patch  1 (High volt.)</t>
  </si>
  <si>
    <t>BNC hv</t>
  </si>
  <si>
    <t>Patch 2 (analog+HV)</t>
  </si>
  <si>
    <t>BNC sig</t>
  </si>
  <si>
    <t>Analog + hv</t>
  </si>
  <si>
    <t>19BSF</t>
  </si>
  <si>
    <t>Beam Loss  ACEM installed on the LHC primary collimators</t>
  </si>
  <si>
    <t xml:space="preserve"> 25/6/2002</t>
  </si>
  <si>
    <t xml:space="preserve">      ACEM</t>
  </si>
  <si>
    <t>Dist.</t>
  </si>
  <si>
    <t>Loacl</t>
  </si>
  <si>
    <t>Support</t>
  </si>
  <si>
    <t>Card</t>
  </si>
  <si>
    <t>Ppc,sac,tg8</t>
  </si>
  <si>
    <t xml:space="preserve">Total  </t>
  </si>
  <si>
    <t>qte</t>
  </si>
  <si>
    <t>price</t>
  </si>
  <si>
    <t>CK50</t>
  </si>
  <si>
    <t>acquisit.</t>
  </si>
  <si>
    <t>8 FS/m</t>
  </si>
  <si>
    <t>5 FS/m</t>
  </si>
  <si>
    <t xml:space="preserve">IR3 </t>
  </si>
  <si>
    <t>UJ33</t>
  </si>
  <si>
    <t xml:space="preserve">IR7 </t>
  </si>
  <si>
    <t>UJ76</t>
  </si>
  <si>
    <t>Budget code 96534</t>
  </si>
  <si>
    <t>(Daniel)</t>
  </si>
  <si>
    <t xml:space="preserve">Ionization chambers installed in the LHC Ring </t>
  </si>
  <si>
    <t>Remboursé</t>
  </si>
  <si>
    <t>15/12/2003</t>
  </si>
  <si>
    <t xml:space="preserve">           Front end Q12-Q34</t>
  </si>
  <si>
    <t xml:space="preserve">Beam Loss Monitors Ring LHC </t>
  </si>
  <si>
    <t>KCHF</t>
  </si>
  <si>
    <t>CHF/unit</t>
  </si>
  <si>
    <t>Qte</t>
  </si>
  <si>
    <t>CHF</t>
  </si>
  <si>
    <t>CFC</t>
  </si>
  <si>
    <t>Point 1-8</t>
  </si>
  <si>
    <t>Power supply</t>
  </si>
  <si>
    <t>Chassis +PS</t>
  </si>
  <si>
    <t>Price CFC and ACQ. Card with Laser and diode</t>
  </si>
  <si>
    <t>BNC hv BJBHT</t>
  </si>
  <si>
    <t>19BSF BJBAP</t>
  </si>
  <si>
    <t>BNC hv BJBAP</t>
  </si>
  <si>
    <t>BNC sig BJBAP</t>
  </si>
  <si>
    <t>45m * 360 box</t>
  </si>
  <si>
    <t>25 m * 280 box</t>
  </si>
  <si>
    <t>CBH 50 Q1-Q11 bl</t>
  </si>
  <si>
    <t>47 + 22</t>
  </si>
  <si>
    <t>18.4 + 2.2</t>
  </si>
  <si>
    <t>18.4 + 13</t>
  </si>
  <si>
    <t>35m * 360 box</t>
  </si>
  <si>
    <t>CBH 50 Q12-Q34 bjbht + bl</t>
  </si>
  <si>
    <t>5m * 1196</t>
  </si>
  <si>
    <t>280 * 2</t>
  </si>
  <si>
    <t>3676 * 2</t>
  </si>
  <si>
    <t>1HVPF bl</t>
  </si>
  <si>
    <t>640 * 2</t>
  </si>
  <si>
    <t>xx m * 280 bjbap</t>
  </si>
  <si>
    <t>2000m * 2* 8 oct</t>
  </si>
  <si>
    <t>10m * 1516 BL</t>
  </si>
  <si>
    <t>3676 * 1</t>
  </si>
  <si>
    <t>1HVPF bjbht + (bibap or chassis)</t>
  </si>
  <si>
    <t>Support + BJBHT</t>
  </si>
  <si>
    <t>Support + BJBHT + BJBAP</t>
  </si>
  <si>
    <t>CBH 50 Q1-Q11 bjbht bl --bl bjbht</t>
  </si>
  <si>
    <t>CB 50 Q1-Q11 bjbap - bl</t>
  </si>
  <si>
    <t>CB 50 Q12-Q34 chassis - bl</t>
  </si>
  <si>
    <t>19BPM bjbap - chassis SS</t>
  </si>
  <si>
    <t>1N50PMB bjbap - bl</t>
  </si>
  <si>
    <t>NE 18 bjbap - chassis SS</t>
  </si>
  <si>
    <t>CBH 50 SR - tunnel bjbht</t>
  </si>
  <si>
    <t>ND 36 TDC62 68</t>
  </si>
  <si>
    <t>1000 m * 2</t>
  </si>
  <si>
    <t>Support + Box</t>
  </si>
  <si>
    <t>3.5 + 4.1</t>
  </si>
  <si>
    <t>2.5 + 1</t>
  </si>
  <si>
    <t>2.5 + 0.85</t>
  </si>
  <si>
    <t>3.5 + 5.1</t>
  </si>
  <si>
    <t>50BPM</t>
  </si>
  <si>
    <t>80 + 30</t>
  </si>
  <si>
    <t>kSF</t>
  </si>
  <si>
    <t>Installation</t>
  </si>
  <si>
    <t>Connecteurs</t>
  </si>
  <si>
    <t xml:space="preserve"> Cables</t>
  </si>
  <si>
    <t>Prix SF</t>
  </si>
  <si>
    <t>inst. - mater.</t>
  </si>
  <si>
    <t>CBH 50    Q1-Q11     bl --- bl</t>
  </si>
  <si>
    <t>ND 36       TDC 62, TDC 68</t>
  </si>
  <si>
    <t>NE 18       Q1 - Q11  bjbap - chassis SS</t>
  </si>
  <si>
    <t>CBH 50    SR - bjbht SS et arc</t>
  </si>
  <si>
    <t xml:space="preserve">CBH 50    Q12-Q34   bjbht--bl, bl--bl et bl--chassis arc </t>
  </si>
  <si>
    <t>50 BPM      TDC 62, TDC 68</t>
  </si>
  <si>
    <t xml:space="preserve">CB 50      Q1-Q11     bl -- bjbap </t>
  </si>
  <si>
    <t>CB 50      Q12-Q34   bl -- chassis</t>
  </si>
  <si>
    <t>7   8</t>
  </si>
  <si>
    <t>CBH 50    Q1-Q11     bjbht--bl  et bl--bjbap</t>
  </si>
  <si>
    <t>280 * 2 *2</t>
  </si>
  <si>
    <t>8+17 m * 280 box</t>
  </si>
  <si>
    <t>1196 * 2</t>
  </si>
  <si>
    <t xml:space="preserve">1HVPF       Q12-Q34   bjbht--bl, bl--bl et bl--chassis arc </t>
  </si>
  <si>
    <t>(1800 + 360 *2)*2</t>
  </si>
  <si>
    <t>Support + BJBHT                     Arcs</t>
  </si>
  <si>
    <t>Support + BJBHT + BJBAP       SS</t>
  </si>
  <si>
    <t>Support + Box                          TDC</t>
  </si>
  <si>
    <t xml:space="preserve">                                        Beam loss LHC: prix installation cables</t>
  </si>
  <si>
    <t>1N50PMB   Q1 - Q34   bjbap - bl</t>
  </si>
  <si>
    <t>1HVPF       Q1 - Q11   bl -- bl</t>
  </si>
  <si>
    <t>1HVPF       Q1 - Q11   bjbht--bl  et bl--bjbap</t>
  </si>
  <si>
    <t>19 BPM      Q! - Q11   bjbap - chassis SS</t>
  </si>
  <si>
    <t>Total LHC   kSF</t>
  </si>
  <si>
    <t>teflon</t>
  </si>
  <si>
    <t>Payed by CO 85%</t>
  </si>
  <si>
    <t>Payed by BDI 25%</t>
  </si>
  <si>
    <t>Payed by CO</t>
  </si>
  <si>
    <t>Chassis SS</t>
  </si>
  <si>
    <t>Chassis arc</t>
  </si>
  <si>
    <t>PS arc</t>
  </si>
  <si>
    <t>blm-bpm</t>
  </si>
  <si>
    <t xml:space="preserve">Fibres spare Q1-Q11 </t>
  </si>
  <si>
    <t>BLM Total</t>
  </si>
  <si>
    <t>kFS</t>
  </si>
  <si>
    <t>Q1 -- Q11</t>
  </si>
  <si>
    <t>Fibre</t>
  </si>
  <si>
    <t>Used</t>
  </si>
  <si>
    <t xml:space="preserve">Spare </t>
  </si>
  <si>
    <t>Q12 -- Q34</t>
  </si>
  <si>
    <t>Termination</t>
  </si>
  <si>
    <t>Patch cords</t>
  </si>
  <si>
    <t>Istallation Fibres</t>
  </si>
  <si>
    <t>Price</t>
  </si>
  <si>
    <r>
      <t xml:space="preserve">18.4 + </t>
    </r>
    <r>
      <rPr>
        <sz val="10"/>
        <color indexed="10"/>
        <rFont val="Arial"/>
        <family val="2"/>
      </rPr>
      <t>4.1</t>
    </r>
  </si>
  <si>
    <r>
      <t xml:space="preserve">18.4 + </t>
    </r>
    <r>
      <rPr>
        <sz val="10"/>
        <color indexed="10"/>
        <rFont val="Arial"/>
        <family val="2"/>
      </rPr>
      <t>16.5</t>
    </r>
  </si>
  <si>
    <t>Polipenco</t>
  </si>
  <si>
    <r>
      <t>18.4 +</t>
    </r>
    <r>
      <rPr>
        <sz val="10"/>
        <color indexed="10"/>
        <rFont val="Arial"/>
        <family val="2"/>
      </rPr>
      <t xml:space="preserve"> 13</t>
    </r>
  </si>
  <si>
    <t>Peek</t>
  </si>
  <si>
    <r>
      <t xml:space="preserve">18.4 + </t>
    </r>
    <r>
      <rPr>
        <sz val="10"/>
        <color indexed="10"/>
        <rFont val="Arial"/>
        <family val="2"/>
      </rPr>
      <t>8.1</t>
    </r>
  </si>
  <si>
    <t>BNC connectors in teflon</t>
  </si>
  <si>
    <t>BNC connectors in polypenco</t>
  </si>
  <si>
    <t>Spare 05</t>
  </si>
  <si>
    <t>Spare 06</t>
  </si>
  <si>
    <t>DAB</t>
  </si>
  <si>
    <t>Price CFC and DAB with Laser and diode</t>
  </si>
  <si>
    <t>BDI</t>
  </si>
  <si>
    <t>Cablage CBH 50 dans bjbht</t>
  </si>
  <si>
    <t>28/1/2005</t>
  </si>
  <si>
    <t>Budget  96xxx (dump)</t>
  </si>
  <si>
    <t>Budget  96534 (ring + fast)</t>
  </si>
  <si>
    <t>only 70 for 2005</t>
  </si>
  <si>
    <t>where is the budget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</si>
</sst>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3">
    <font>
      <sz val="10"/>
      <name val="Arial"/>
      <family val="0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5"/>
      <name val="Arial"/>
      <family val="2"/>
    </font>
    <font>
      <sz val="10"/>
      <color indexed="15"/>
      <name val="Arial"/>
      <family val="2"/>
    </font>
    <font>
      <b/>
      <sz val="10"/>
      <name val="Arial"/>
      <family val="2"/>
    </font>
    <font>
      <sz val="10"/>
      <color indexed="11"/>
      <name val="Arial"/>
      <family val="2"/>
    </font>
    <font>
      <sz val="10"/>
      <color indexed="14"/>
      <name val="Arial"/>
      <family val="2"/>
    </font>
    <font>
      <i/>
      <sz val="10"/>
      <color indexed="53"/>
      <name val="Arial"/>
      <family val="2"/>
    </font>
    <font>
      <sz val="10"/>
      <color indexed="53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i/>
      <sz val="10"/>
      <color indexed="11"/>
      <name val="Arial"/>
      <family val="2"/>
    </font>
    <font>
      <i/>
      <sz val="10"/>
      <color indexed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b/>
      <sz val="12"/>
      <color indexed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48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9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49" fontId="0" fillId="0" borderId="0" xfId="0" applyNumberFormat="1" applyAlignment="1">
      <alignment horizontal="center"/>
    </xf>
    <xf numFmtId="1" fontId="16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18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5" fillId="0" borderId="3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4" xfId="0" applyFont="1" applyBorder="1" applyAlignment="1">
      <alignment/>
    </xf>
    <xf numFmtId="0" fontId="25" fillId="0" borderId="7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25" fillId="0" borderId="1" xfId="0" applyFont="1" applyBorder="1" applyAlignment="1">
      <alignment horizontal="center"/>
    </xf>
    <xf numFmtId="0" fontId="25" fillId="0" borderId="8" xfId="0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8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" fontId="28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2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5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1" fontId="15" fillId="0" borderId="0" xfId="0" applyNumberFormat="1" applyFont="1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7" fontId="0" fillId="0" borderId="0" xfId="0" applyNumberFormat="1" applyFont="1" applyAlignment="1">
      <alignment horizontal="right"/>
    </xf>
    <xf numFmtId="0" fontId="25" fillId="0" borderId="0" xfId="0" applyFont="1" applyFill="1" applyBorder="1" applyAlignment="1">
      <alignment horizontal="left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s\all\cern.ch\user\d\dehning\copy\Beamloss\Prix_cab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s\all\cern.ch\user\d\dehning\copy\BL_LHC_Budget\Prix_c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am Loss LHC"/>
      <sheetName val="Point 1 prix cable"/>
    </sheetNames>
    <sheetDataSet>
      <sheetData sheetId="1">
        <row r="37">
          <cell r="R37">
            <v>917472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N12" sqref="N12"/>
    </sheetView>
  </sheetViews>
  <sheetFormatPr defaultColWidth="9.140625" defaultRowHeight="12.75"/>
  <cols>
    <col min="2" max="2" width="12.28125" style="0" customWidth="1"/>
    <col min="3" max="3" width="11.140625" style="0" customWidth="1"/>
    <col min="4" max="4" width="9.7109375" style="0" customWidth="1"/>
    <col min="5" max="5" width="10.57421875" style="0" bestFit="1" customWidth="1"/>
    <col min="6" max="6" width="9.28125" style="0" bestFit="1" customWidth="1"/>
    <col min="7" max="7" width="10.7109375" style="0" customWidth="1"/>
    <col min="8" max="8" width="9.28125" style="0" bestFit="1" customWidth="1"/>
    <col min="9" max="9" width="9.57421875" style="0" customWidth="1"/>
    <col min="10" max="10" width="9.7109375" style="0" customWidth="1"/>
    <col min="11" max="12" width="10.00390625" style="0" customWidth="1"/>
    <col min="13" max="13" width="7.7109375" style="12" customWidth="1"/>
  </cols>
  <sheetData>
    <row r="1" spans="1:12" ht="20.25">
      <c r="A1" s="3" t="s">
        <v>234</v>
      </c>
      <c r="E1" s="1" t="s">
        <v>128</v>
      </c>
      <c r="L1" s="2">
        <v>38402</v>
      </c>
    </row>
    <row r="2" spans="8:9" ht="12.75">
      <c r="H2" s="127"/>
      <c r="I2" s="127"/>
    </row>
    <row r="3" spans="8:9" ht="12.75">
      <c r="H3" s="128">
        <v>37653</v>
      </c>
      <c r="I3" s="129">
        <v>38353</v>
      </c>
    </row>
    <row r="4" spans="1:13" ht="15.75">
      <c r="A4" s="3"/>
      <c r="C4" s="3" t="s">
        <v>244</v>
      </c>
      <c r="D4" s="5"/>
      <c r="F4" s="3"/>
      <c r="G4" s="38" t="s">
        <v>218</v>
      </c>
      <c r="H4" s="125">
        <v>5021</v>
      </c>
      <c r="I4" s="125">
        <v>5021</v>
      </c>
      <c r="K4" s="135" t="s">
        <v>236</v>
      </c>
      <c r="L4" s="136">
        <v>100</v>
      </c>
      <c r="M4" s="37" t="s">
        <v>245</v>
      </c>
    </row>
    <row r="5" spans="1:13" ht="15.75">
      <c r="A5" s="3"/>
      <c r="C5" s="3" t="s">
        <v>243</v>
      </c>
      <c r="F5" s="3"/>
      <c r="G5" s="38"/>
      <c r="H5" s="125">
        <v>0</v>
      </c>
      <c r="I5" s="125">
        <v>60</v>
      </c>
      <c r="K5" s="135"/>
      <c r="L5" s="136"/>
      <c r="M5" s="37" t="s">
        <v>246</v>
      </c>
    </row>
    <row r="6" spans="1:13" ht="15.75">
      <c r="A6" s="3"/>
      <c r="C6" s="7" t="s">
        <v>4</v>
      </c>
      <c r="F6" s="3"/>
      <c r="G6" s="38"/>
      <c r="H6" s="125">
        <v>101</v>
      </c>
      <c r="I6" s="125">
        <v>101</v>
      </c>
      <c r="K6" s="135"/>
      <c r="L6" s="136"/>
      <c r="M6" s="37"/>
    </row>
    <row r="7" spans="1:12" ht="15.75">
      <c r="A7" s="7"/>
      <c r="C7" s="6" t="s">
        <v>217</v>
      </c>
      <c r="D7" s="8"/>
      <c r="G7" s="38" t="s">
        <v>218</v>
      </c>
      <c r="H7" s="126">
        <f>C39</f>
        <v>4628.092000000001</v>
      </c>
      <c r="I7" s="124">
        <f>D39</f>
        <v>5258.6320000000005</v>
      </c>
      <c r="K7" s="135" t="s">
        <v>237</v>
      </c>
      <c r="L7" s="136">
        <v>150</v>
      </c>
    </row>
    <row r="8" spans="7:12" ht="15.75">
      <c r="G8" s="38" t="s">
        <v>218</v>
      </c>
      <c r="H8" s="4">
        <f>H4+H5-H6-H7</f>
        <v>291.90799999999945</v>
      </c>
      <c r="I8" s="4">
        <f>I4+I5-I6-I7</f>
        <v>-278.6320000000005</v>
      </c>
      <c r="K8" s="38" t="s">
        <v>218</v>
      </c>
      <c r="L8" s="138">
        <f>L4+L7</f>
        <v>250</v>
      </c>
    </row>
    <row r="9" spans="7:12" ht="15.75">
      <c r="G9" s="38"/>
      <c r="H9" s="4"/>
      <c r="I9" s="4"/>
      <c r="K9" s="38"/>
      <c r="L9" s="137"/>
    </row>
    <row r="10" ht="12.75">
      <c r="L10" s="37"/>
    </row>
    <row r="11" ht="12.75">
      <c r="I11" s="5" t="s">
        <v>209</v>
      </c>
    </row>
    <row r="12" spans="1:9" ht="15.75">
      <c r="A12" s="3"/>
      <c r="C12" s="70" t="s">
        <v>5</v>
      </c>
      <c r="E12" s="70" t="s">
        <v>127</v>
      </c>
      <c r="F12" s="77"/>
      <c r="G12" s="73"/>
      <c r="I12" s="5" t="s">
        <v>210</v>
      </c>
    </row>
    <row r="13" spans="3:7" ht="12.75">
      <c r="C13" s="70"/>
      <c r="E13" s="70"/>
      <c r="F13" s="77"/>
      <c r="G13" s="73"/>
    </row>
    <row r="14" spans="1:12" ht="12.75">
      <c r="A14" s="11"/>
      <c r="B14" s="12" t="s">
        <v>7</v>
      </c>
      <c r="C14" s="71" t="s">
        <v>212</v>
      </c>
      <c r="D14" s="12" t="s">
        <v>133</v>
      </c>
      <c r="E14" s="71" t="s">
        <v>133</v>
      </c>
      <c r="F14" s="78" t="s">
        <v>214</v>
      </c>
      <c r="G14" s="74" t="s">
        <v>213</v>
      </c>
      <c r="H14" s="12" t="s">
        <v>10</v>
      </c>
      <c r="I14" s="13" t="s">
        <v>8</v>
      </c>
      <c r="J14" s="13" t="s">
        <v>11</v>
      </c>
      <c r="K14" s="12" t="s">
        <v>12</v>
      </c>
      <c r="L14" s="12" t="s">
        <v>238</v>
      </c>
    </row>
    <row r="15" spans="1:12" ht="12.75">
      <c r="A15" s="12"/>
      <c r="B15" s="12"/>
      <c r="C15" s="70"/>
      <c r="D15" s="12"/>
      <c r="E15" s="71"/>
      <c r="F15" s="78"/>
      <c r="G15" s="74" t="s">
        <v>215</v>
      </c>
      <c r="H15" s="12"/>
      <c r="I15" s="13" t="s">
        <v>240</v>
      </c>
      <c r="J15" s="13" t="s">
        <v>16</v>
      </c>
      <c r="K15" s="12"/>
      <c r="L15" s="12" t="s">
        <v>17</v>
      </c>
    </row>
    <row r="16" spans="1:12" ht="12.75">
      <c r="A16" s="12"/>
      <c r="B16" s="12"/>
      <c r="C16" s="71"/>
      <c r="D16" s="12"/>
      <c r="E16" s="71"/>
      <c r="F16" s="78"/>
      <c r="G16" s="73"/>
      <c r="H16" s="12"/>
      <c r="I16" s="12"/>
      <c r="J16" s="12"/>
      <c r="K16" s="12"/>
      <c r="L16" s="12"/>
    </row>
    <row r="17" spans="1:13" ht="12.75">
      <c r="A17" s="11" t="s">
        <v>21</v>
      </c>
      <c r="B17" s="99">
        <v>3600</v>
      </c>
      <c r="C17" s="101">
        <v>32</v>
      </c>
      <c r="D17" s="23">
        <v>197</v>
      </c>
      <c r="E17" s="117">
        <v>368</v>
      </c>
      <c r="F17" s="118">
        <v>368</v>
      </c>
      <c r="G17" s="119">
        <v>368</v>
      </c>
      <c r="H17" s="23">
        <v>16</v>
      </c>
      <c r="I17" s="23">
        <v>24</v>
      </c>
      <c r="J17" s="23">
        <v>24</v>
      </c>
      <c r="K17" s="23">
        <v>24</v>
      </c>
      <c r="L17" s="23">
        <v>288</v>
      </c>
      <c r="M17" s="120">
        <v>37653</v>
      </c>
    </row>
    <row r="18" spans="1:12" ht="12.75">
      <c r="A18" s="12" t="s">
        <v>22</v>
      </c>
      <c r="B18" s="99">
        <v>300</v>
      </c>
      <c r="C18" s="101">
        <v>2000</v>
      </c>
      <c r="D18" s="23">
        <v>1300</v>
      </c>
      <c r="E18" s="117">
        <v>1300</v>
      </c>
      <c r="F18" s="118">
        <v>200</v>
      </c>
      <c r="G18" s="119">
        <v>500</v>
      </c>
      <c r="H18" s="23">
        <v>1500</v>
      </c>
      <c r="I18" s="23">
        <v>8000</v>
      </c>
      <c r="J18" s="23">
        <v>9000</v>
      </c>
      <c r="K18" s="23">
        <v>1000</v>
      </c>
      <c r="L18" s="23">
        <v>2000</v>
      </c>
    </row>
    <row r="19" spans="1:12" ht="12.75">
      <c r="A19" s="12"/>
      <c r="B19" s="12"/>
      <c r="C19" s="71"/>
      <c r="D19" s="12"/>
      <c r="E19" s="71"/>
      <c r="F19" s="78"/>
      <c r="G19" s="73"/>
      <c r="H19" s="12"/>
      <c r="I19" s="12"/>
      <c r="J19" s="12"/>
      <c r="K19" s="12"/>
      <c r="L19" s="12"/>
    </row>
    <row r="20" spans="1:13" ht="12.75">
      <c r="A20" s="100" t="s">
        <v>81</v>
      </c>
      <c r="B20" s="14">
        <f aca="true" t="shared" si="0" ref="B20:L20">B17*B18</f>
        <v>1080000</v>
      </c>
      <c r="C20" s="72">
        <f t="shared" si="0"/>
        <v>64000</v>
      </c>
      <c r="D20" s="15">
        <f t="shared" si="0"/>
        <v>256100</v>
      </c>
      <c r="E20" s="72">
        <f t="shared" si="0"/>
        <v>478400</v>
      </c>
      <c r="F20" s="80">
        <f t="shared" si="0"/>
        <v>73600</v>
      </c>
      <c r="G20" s="76">
        <f t="shared" si="0"/>
        <v>184000</v>
      </c>
      <c r="H20" s="15">
        <f t="shared" si="0"/>
        <v>24000</v>
      </c>
      <c r="I20" s="15">
        <f t="shared" si="0"/>
        <v>192000</v>
      </c>
      <c r="J20" s="15">
        <f t="shared" si="0"/>
        <v>216000</v>
      </c>
      <c r="K20" s="15">
        <f t="shared" si="0"/>
        <v>24000</v>
      </c>
      <c r="L20" s="15">
        <f t="shared" si="0"/>
        <v>576000</v>
      </c>
      <c r="M20" s="102"/>
    </row>
    <row r="21" spans="1:13" s="17" customFormat="1" ht="12.75">
      <c r="A21" s="100"/>
      <c r="B21" s="14"/>
      <c r="C21" s="80"/>
      <c r="D21" s="15"/>
      <c r="E21" s="80"/>
      <c r="F21" s="80"/>
      <c r="G21" s="80"/>
      <c r="H21" s="15"/>
      <c r="I21" s="15"/>
      <c r="J21" s="15"/>
      <c r="K21" s="15"/>
      <c r="L21" s="15"/>
      <c r="M21" s="12"/>
    </row>
    <row r="22" spans="1:13" s="17" customFormat="1" ht="12.75">
      <c r="A22"/>
      <c r="B22"/>
      <c r="C22"/>
      <c r="D22"/>
      <c r="E22"/>
      <c r="F22"/>
      <c r="G22"/>
      <c r="H22"/>
      <c r="I22"/>
      <c r="J22"/>
      <c r="K22"/>
      <c r="L22"/>
      <c r="M22" s="12"/>
    </row>
    <row r="23" spans="1:13" s="17" customFormat="1" ht="12.75">
      <c r="A23" s="11" t="s">
        <v>21</v>
      </c>
      <c r="B23" s="11">
        <v>3714</v>
      </c>
      <c r="C23" s="114">
        <v>40</v>
      </c>
      <c r="D23" s="11">
        <v>280</v>
      </c>
      <c r="E23" s="114">
        <v>360</v>
      </c>
      <c r="F23" s="115">
        <v>360</v>
      </c>
      <c r="G23" s="116">
        <v>360</v>
      </c>
      <c r="H23" s="11">
        <v>16</v>
      </c>
      <c r="I23" s="11">
        <v>25</v>
      </c>
      <c r="J23" s="11">
        <v>25</v>
      </c>
      <c r="K23" s="11">
        <v>25</v>
      </c>
      <c r="L23" s="11">
        <v>325</v>
      </c>
      <c r="M23" s="121">
        <v>38353</v>
      </c>
    </row>
    <row r="24" spans="1:13" s="17" customFormat="1" ht="12.75">
      <c r="A24" s="23" t="s">
        <v>22</v>
      </c>
      <c r="B24" s="13">
        <v>300</v>
      </c>
      <c r="C24" s="114">
        <v>2250</v>
      </c>
      <c r="D24" s="11">
        <v>1300</v>
      </c>
      <c r="E24" s="114">
        <v>1300</v>
      </c>
      <c r="F24" s="115">
        <v>230</v>
      </c>
      <c r="G24" s="116">
        <v>500</v>
      </c>
      <c r="H24" s="11">
        <v>1500</v>
      </c>
      <c r="I24" s="11">
        <v>8000</v>
      </c>
      <c r="J24" s="11">
        <v>9000</v>
      </c>
      <c r="K24" s="11">
        <v>1000</v>
      </c>
      <c r="L24" s="11">
        <v>2000</v>
      </c>
      <c r="M24" s="23"/>
    </row>
    <row r="25" spans="1:13" ht="12.75">
      <c r="A25" s="11"/>
      <c r="B25" s="13"/>
      <c r="C25" s="118"/>
      <c r="D25" s="115"/>
      <c r="E25" s="115"/>
      <c r="F25" s="118"/>
      <c r="G25" s="118"/>
      <c r="H25" s="23"/>
      <c r="I25" s="23"/>
      <c r="J25" s="23"/>
      <c r="K25" s="23"/>
      <c r="L25" s="11"/>
      <c r="M25" s="23"/>
    </row>
    <row r="26" spans="1:13" ht="12.75">
      <c r="A26" s="11" t="s">
        <v>81</v>
      </c>
      <c r="B26" s="13">
        <f aca="true" t="shared" si="1" ref="B26:L26">B23*B24</f>
        <v>1114200</v>
      </c>
      <c r="C26" s="114">
        <f t="shared" si="1"/>
        <v>90000</v>
      </c>
      <c r="D26" s="11">
        <f t="shared" si="1"/>
        <v>364000</v>
      </c>
      <c r="E26" s="114">
        <f t="shared" si="1"/>
        <v>468000</v>
      </c>
      <c r="F26" s="115">
        <f t="shared" si="1"/>
        <v>82800</v>
      </c>
      <c r="G26" s="116">
        <f t="shared" si="1"/>
        <v>180000</v>
      </c>
      <c r="H26" s="11">
        <f t="shared" si="1"/>
        <v>24000</v>
      </c>
      <c r="I26" s="11">
        <f t="shared" si="1"/>
        <v>200000</v>
      </c>
      <c r="J26" s="11">
        <f t="shared" si="1"/>
        <v>225000</v>
      </c>
      <c r="K26" s="11">
        <f t="shared" si="1"/>
        <v>25000</v>
      </c>
      <c r="L26" s="11">
        <f t="shared" si="1"/>
        <v>650000</v>
      </c>
      <c r="M26" s="23"/>
    </row>
    <row r="27" spans="1:12" ht="12.75">
      <c r="A27" s="12"/>
      <c r="B27" s="12"/>
      <c r="C27" s="12"/>
      <c r="D27" s="12"/>
      <c r="E27" s="12"/>
      <c r="F27" s="78"/>
      <c r="H27" s="12"/>
      <c r="I27" s="12"/>
      <c r="J27" s="12"/>
      <c r="K27" s="12"/>
      <c r="L27" s="12"/>
    </row>
    <row r="28" spans="1:5" ht="12.75">
      <c r="A28" s="12"/>
      <c r="B28" s="12"/>
      <c r="C28" s="12"/>
      <c r="D28" s="12"/>
      <c r="E28" s="12"/>
    </row>
    <row r="29" spans="3:13" ht="12.75">
      <c r="C29" s="120">
        <v>37653</v>
      </c>
      <c r="D29" s="121">
        <v>38353</v>
      </c>
      <c r="M29"/>
    </row>
    <row r="30" spans="4:13" ht="12.75">
      <c r="D30" s="17"/>
      <c r="M30"/>
    </row>
    <row r="31" spans="1:13" ht="12.75">
      <c r="A31" s="69" t="s">
        <v>23</v>
      </c>
      <c r="B31" s="14"/>
      <c r="C31" s="131">
        <f>B20/1000</f>
        <v>1080</v>
      </c>
      <c r="D31" s="45">
        <f>B26/1000</f>
        <v>1114.2</v>
      </c>
      <c r="G31" s="65" t="s">
        <v>239</v>
      </c>
      <c r="M31"/>
    </row>
    <row r="32" spans="1:13" ht="12.75">
      <c r="A32" s="32" t="s">
        <v>25</v>
      </c>
      <c r="B32" s="40"/>
      <c r="C32" s="132">
        <f>SUM(C20:L20)/1000</f>
        <v>2088.1</v>
      </c>
      <c r="D32" s="45">
        <f>SUM(C26:L26)/1000</f>
        <v>2308.8</v>
      </c>
      <c r="G32" s="67"/>
      <c r="M32"/>
    </row>
    <row r="33" spans="1:13" ht="12.75">
      <c r="A33" s="30" t="s">
        <v>27</v>
      </c>
      <c r="B33" s="31"/>
      <c r="C33" s="133">
        <f>917472/1000</f>
        <v>917.472</v>
      </c>
      <c r="D33" s="103">
        <f>(prix_cables!G39)</f>
        <v>1200.064</v>
      </c>
      <c r="M33"/>
    </row>
    <row r="34" spans="1:13" ht="12.75">
      <c r="A34" s="25" t="s">
        <v>30</v>
      </c>
      <c r="B34" s="26"/>
      <c r="C34" s="134">
        <f>Fibre!D14/1000</f>
        <v>852.52</v>
      </c>
      <c r="D34" s="45">
        <f>Fibre!F32/1000</f>
        <v>945.568</v>
      </c>
      <c r="M34"/>
    </row>
    <row r="35" spans="3:13" ht="12.75">
      <c r="C35" s="64"/>
      <c r="D35" s="109"/>
      <c r="M35"/>
    </row>
    <row r="36" spans="1:13" ht="12.75">
      <c r="A36" s="67" t="s">
        <v>81</v>
      </c>
      <c r="C36" s="105">
        <f>SUM(C31:C34)</f>
        <v>4938.092000000001</v>
      </c>
      <c r="D36" s="103">
        <f>SUM(D31:D34)</f>
        <v>5568.6320000000005</v>
      </c>
      <c r="M36"/>
    </row>
    <row r="37" spans="1:4" ht="12.75">
      <c r="A37" s="22" t="s">
        <v>8</v>
      </c>
      <c r="B37" s="17" t="s">
        <v>211</v>
      </c>
      <c r="C37" s="109">
        <v>310</v>
      </c>
      <c r="D37" s="109">
        <v>310</v>
      </c>
    </row>
    <row r="38" spans="3:4" ht="12.75">
      <c r="C38" s="64"/>
      <c r="D38" s="62"/>
    </row>
    <row r="39" spans="1:4" ht="15.75">
      <c r="A39" s="47" t="s">
        <v>35</v>
      </c>
      <c r="B39" s="38" t="s">
        <v>178</v>
      </c>
      <c r="C39" s="39">
        <f>(C36-C37)</f>
        <v>4628.092000000001</v>
      </c>
      <c r="D39" s="63">
        <f>(D36-D37)</f>
        <v>5258.6320000000005</v>
      </c>
    </row>
    <row r="40" ht="12.75">
      <c r="E40" s="41"/>
    </row>
    <row r="41" ht="12.75">
      <c r="D41" s="41"/>
    </row>
    <row r="42" spans="1:12" ht="20.25">
      <c r="A42" s="3" t="s">
        <v>235</v>
      </c>
      <c r="E42" s="1" t="s">
        <v>128</v>
      </c>
      <c r="L42" s="2">
        <v>38402</v>
      </c>
    </row>
    <row r="43" spans="8:9" ht="12.75">
      <c r="H43" s="127"/>
      <c r="I43" s="127"/>
    </row>
    <row r="44" spans="8:9" ht="12.75">
      <c r="H44" s="128">
        <v>37653</v>
      </c>
      <c r="I44" s="129">
        <v>38353</v>
      </c>
    </row>
    <row r="45" spans="1:13" ht="15.75">
      <c r="A45" s="3"/>
      <c r="C45" s="3" t="s">
        <v>244</v>
      </c>
      <c r="F45" s="3"/>
      <c r="G45" s="38" t="s">
        <v>218</v>
      </c>
      <c r="H45" s="125">
        <v>5021</v>
      </c>
      <c r="I45" s="125">
        <v>5021</v>
      </c>
      <c r="K45" s="135" t="s">
        <v>236</v>
      </c>
      <c r="L45" s="136">
        <v>100</v>
      </c>
      <c r="M45" s="37" t="s">
        <v>245</v>
      </c>
    </row>
    <row r="46" spans="1:13" ht="15.75">
      <c r="A46" s="3"/>
      <c r="C46" s="3" t="s">
        <v>243</v>
      </c>
      <c r="F46" s="3"/>
      <c r="G46" s="38"/>
      <c r="H46" s="125">
        <v>0</v>
      </c>
      <c r="I46" s="125">
        <v>60</v>
      </c>
      <c r="K46" s="135"/>
      <c r="L46" s="136"/>
      <c r="M46" s="37" t="s">
        <v>246</v>
      </c>
    </row>
    <row r="47" spans="1:13" ht="15.75">
      <c r="A47" s="3"/>
      <c r="C47" s="7" t="s">
        <v>4</v>
      </c>
      <c r="F47" s="3"/>
      <c r="G47" s="38"/>
      <c r="H47" s="125">
        <v>101</v>
      </c>
      <c r="I47" s="125">
        <v>101</v>
      </c>
      <c r="K47" s="135"/>
      <c r="L47" s="136"/>
      <c r="M47" s="37"/>
    </row>
    <row r="48" spans="3:13" ht="15.75">
      <c r="C48" s="6" t="s">
        <v>217</v>
      </c>
      <c r="G48" s="38" t="s">
        <v>218</v>
      </c>
      <c r="H48" s="126">
        <f>C80</f>
        <v>4628.092000000001</v>
      </c>
      <c r="I48" s="124">
        <f>D80</f>
        <v>5355.2848</v>
      </c>
      <c r="K48" s="135" t="s">
        <v>237</v>
      </c>
      <c r="L48" s="136">
        <v>150</v>
      </c>
      <c r="M48" s="37"/>
    </row>
    <row r="49" spans="7:13" ht="15.75">
      <c r="G49" s="38" t="s">
        <v>218</v>
      </c>
      <c r="H49" s="4">
        <f>H45+I46-H47-H48</f>
        <v>351.90799999999945</v>
      </c>
      <c r="I49" s="4">
        <f>I45+I46-I47-I48</f>
        <v>-375.28480000000036</v>
      </c>
      <c r="K49" s="38" t="s">
        <v>218</v>
      </c>
      <c r="L49" s="138">
        <f>L45+L48</f>
        <v>250</v>
      </c>
      <c r="M49" s="37"/>
    </row>
    <row r="50" spans="7:13" ht="15.75">
      <c r="G50" s="38"/>
      <c r="H50" s="4"/>
      <c r="I50" s="4"/>
      <c r="K50" s="38"/>
      <c r="L50" s="137"/>
      <c r="M50" s="37"/>
    </row>
    <row r="51" ht="12.75"/>
    <row r="52" ht="12.75">
      <c r="I52" s="5" t="s">
        <v>209</v>
      </c>
    </row>
    <row r="53" spans="1:9" ht="15.75">
      <c r="A53" s="3"/>
      <c r="C53" s="70" t="s">
        <v>5</v>
      </c>
      <c r="E53" s="70" t="s">
        <v>127</v>
      </c>
      <c r="F53" s="77"/>
      <c r="G53" s="73"/>
      <c r="I53" s="5" t="s">
        <v>210</v>
      </c>
    </row>
    <row r="54" spans="3:7" ht="12.75">
      <c r="C54" s="70"/>
      <c r="E54" s="70"/>
      <c r="F54" s="77"/>
      <c r="G54" s="73"/>
    </row>
    <row r="55" spans="1:12" ht="12.75">
      <c r="A55" s="11"/>
      <c r="B55" s="12" t="s">
        <v>7</v>
      </c>
      <c r="C55" s="71" t="s">
        <v>212</v>
      </c>
      <c r="D55" s="12" t="s">
        <v>133</v>
      </c>
      <c r="E55" s="71" t="s">
        <v>133</v>
      </c>
      <c r="F55" s="78" t="s">
        <v>214</v>
      </c>
      <c r="G55" s="74" t="s">
        <v>213</v>
      </c>
      <c r="H55" s="12" t="s">
        <v>10</v>
      </c>
      <c r="I55" s="13" t="s">
        <v>8</v>
      </c>
      <c r="J55" s="13" t="s">
        <v>11</v>
      </c>
      <c r="K55" s="12" t="s">
        <v>12</v>
      </c>
      <c r="L55" s="12" t="s">
        <v>238</v>
      </c>
    </row>
    <row r="56" spans="1:12" ht="12.75">
      <c r="A56" s="12"/>
      <c r="B56" s="12"/>
      <c r="C56" s="70"/>
      <c r="D56" s="12"/>
      <c r="E56" s="71"/>
      <c r="F56" s="78"/>
      <c r="G56" s="74" t="s">
        <v>215</v>
      </c>
      <c r="H56" s="12"/>
      <c r="I56" s="13" t="s">
        <v>240</v>
      </c>
      <c r="J56" s="13" t="s">
        <v>16</v>
      </c>
      <c r="K56" s="12"/>
      <c r="L56" s="12" t="s">
        <v>17</v>
      </c>
    </row>
    <row r="57" spans="1:12" ht="12.75">
      <c r="A57" s="12"/>
      <c r="B57" s="12"/>
      <c r="C57" s="71"/>
      <c r="D57" s="12"/>
      <c r="E57" s="71"/>
      <c r="F57" s="78"/>
      <c r="G57" s="73"/>
      <c r="H57" s="12"/>
      <c r="I57" s="12"/>
      <c r="J57" s="12"/>
      <c r="K57" s="12"/>
      <c r="L57" s="12"/>
    </row>
    <row r="58" spans="1:13" ht="12.75">
      <c r="A58" s="11" t="s">
        <v>21</v>
      </c>
      <c r="B58" s="99">
        <v>3600</v>
      </c>
      <c r="C58" s="101">
        <v>32</v>
      </c>
      <c r="D58" s="23">
        <v>197</v>
      </c>
      <c r="E58" s="117">
        <v>368</v>
      </c>
      <c r="F58" s="118">
        <v>368</v>
      </c>
      <c r="G58" s="119">
        <v>368</v>
      </c>
      <c r="H58" s="23">
        <v>16</v>
      </c>
      <c r="I58" s="23">
        <v>24</v>
      </c>
      <c r="J58" s="23">
        <v>24</v>
      </c>
      <c r="K58" s="23">
        <v>24</v>
      </c>
      <c r="L58" s="23">
        <v>288</v>
      </c>
      <c r="M58" s="120">
        <v>37653</v>
      </c>
    </row>
    <row r="59" spans="1:12" ht="12.75">
      <c r="A59" s="12" t="s">
        <v>22</v>
      </c>
      <c r="B59" s="99">
        <v>300</v>
      </c>
      <c r="C59" s="101">
        <v>2000</v>
      </c>
      <c r="D59" s="23">
        <v>1300</v>
      </c>
      <c r="E59" s="117">
        <v>1300</v>
      </c>
      <c r="F59" s="118">
        <v>200</v>
      </c>
      <c r="G59" s="119">
        <v>500</v>
      </c>
      <c r="H59" s="23">
        <v>1500</v>
      </c>
      <c r="I59" s="23">
        <v>8000</v>
      </c>
      <c r="J59" s="23">
        <v>9000</v>
      </c>
      <c r="K59" s="23">
        <v>1000</v>
      </c>
      <c r="L59" s="23">
        <v>2000</v>
      </c>
    </row>
    <row r="60" spans="1:12" ht="12.75">
      <c r="A60" s="12"/>
      <c r="B60" s="12"/>
      <c r="C60" s="71"/>
      <c r="D60" s="12"/>
      <c r="E60" s="71"/>
      <c r="F60" s="78"/>
      <c r="G60" s="73"/>
      <c r="H60" s="12"/>
      <c r="I60" s="12"/>
      <c r="J60" s="12"/>
      <c r="K60" s="12"/>
      <c r="L60" s="12"/>
    </row>
    <row r="61" spans="1:13" ht="12.75">
      <c r="A61" s="100" t="s">
        <v>81</v>
      </c>
      <c r="B61" s="14">
        <f aca="true" t="shared" si="2" ref="B61:L61">B58*B59</f>
        <v>1080000</v>
      </c>
      <c r="C61" s="72">
        <f t="shared" si="2"/>
        <v>64000</v>
      </c>
      <c r="D61" s="15">
        <f t="shared" si="2"/>
        <v>256100</v>
      </c>
      <c r="E61" s="72">
        <f t="shared" si="2"/>
        <v>478400</v>
      </c>
      <c r="F61" s="80">
        <f t="shared" si="2"/>
        <v>73600</v>
      </c>
      <c r="G61" s="76">
        <f t="shared" si="2"/>
        <v>184000</v>
      </c>
      <c r="H61" s="15">
        <f t="shared" si="2"/>
        <v>24000</v>
      </c>
      <c r="I61" s="15">
        <f t="shared" si="2"/>
        <v>192000</v>
      </c>
      <c r="J61" s="15">
        <f t="shared" si="2"/>
        <v>216000</v>
      </c>
      <c r="K61" s="15">
        <f t="shared" si="2"/>
        <v>24000</v>
      </c>
      <c r="L61" s="15">
        <f t="shared" si="2"/>
        <v>576000</v>
      </c>
      <c r="M61" s="102"/>
    </row>
    <row r="62" spans="1:12" ht="12.75">
      <c r="A62" s="100"/>
      <c r="B62" s="14"/>
      <c r="C62" s="80"/>
      <c r="D62" s="15"/>
      <c r="E62" s="80"/>
      <c r="F62" s="80"/>
      <c r="G62" s="80"/>
      <c r="H62" s="15"/>
      <c r="I62" s="15"/>
      <c r="J62" s="15"/>
      <c r="K62" s="15"/>
      <c r="L62" s="15"/>
    </row>
    <row r="63" ht="12.75"/>
    <row r="64" spans="1:13" ht="12.75">
      <c r="A64" s="11" t="s">
        <v>21</v>
      </c>
      <c r="B64" s="11">
        <v>3714</v>
      </c>
      <c r="C64" s="114">
        <v>40</v>
      </c>
      <c r="D64" s="11">
        <v>280</v>
      </c>
      <c r="E64" s="114">
        <v>360</v>
      </c>
      <c r="F64" s="115">
        <v>360</v>
      </c>
      <c r="G64" s="116">
        <v>360</v>
      </c>
      <c r="H64" s="11">
        <v>16</v>
      </c>
      <c r="I64" s="11">
        <v>25</v>
      </c>
      <c r="J64" s="11">
        <v>25</v>
      </c>
      <c r="K64" s="11">
        <v>25</v>
      </c>
      <c r="L64" s="11">
        <v>325</v>
      </c>
      <c r="M64" s="121">
        <v>38353</v>
      </c>
    </row>
    <row r="65" spans="1:13" ht="12.75">
      <c r="A65" s="23" t="s">
        <v>22</v>
      </c>
      <c r="B65" s="13">
        <v>300</v>
      </c>
      <c r="C65" s="114">
        <v>2250</v>
      </c>
      <c r="D65" s="11">
        <v>1300</v>
      </c>
      <c r="E65" s="114">
        <v>1300</v>
      </c>
      <c r="F65" s="115">
        <v>230</v>
      </c>
      <c r="G65" s="116">
        <v>500</v>
      </c>
      <c r="H65" s="11">
        <v>1500</v>
      </c>
      <c r="I65" s="11">
        <v>8000</v>
      </c>
      <c r="J65" s="11">
        <v>9000</v>
      </c>
      <c r="K65" s="11">
        <v>1000</v>
      </c>
      <c r="L65" s="11">
        <v>2000</v>
      </c>
      <c r="M65" s="23"/>
    </row>
    <row r="66" spans="1:13" ht="12.75">
      <c r="A66" s="11"/>
      <c r="B66" s="13"/>
      <c r="C66" s="118"/>
      <c r="D66" s="118"/>
      <c r="E66" s="118"/>
      <c r="F66" s="118"/>
      <c r="G66" s="118"/>
      <c r="H66" s="23"/>
      <c r="I66" s="23"/>
      <c r="J66" s="23"/>
      <c r="K66" s="23"/>
      <c r="L66" s="23"/>
      <c r="M66" s="23"/>
    </row>
    <row r="67" spans="1:13" ht="12.75">
      <c r="A67" s="11" t="s">
        <v>81</v>
      </c>
      <c r="B67" s="13">
        <f aca="true" t="shared" si="3" ref="B67:L67">B64*B65</f>
        <v>1114200</v>
      </c>
      <c r="C67" s="114">
        <f t="shared" si="3"/>
        <v>90000</v>
      </c>
      <c r="D67" s="11">
        <f t="shared" si="3"/>
        <v>364000</v>
      </c>
      <c r="E67" s="114">
        <f t="shared" si="3"/>
        <v>468000</v>
      </c>
      <c r="F67" s="115">
        <f t="shared" si="3"/>
        <v>82800</v>
      </c>
      <c r="G67" s="116">
        <f t="shared" si="3"/>
        <v>180000</v>
      </c>
      <c r="H67" s="11">
        <f t="shared" si="3"/>
        <v>24000</v>
      </c>
      <c r="I67" s="11">
        <f t="shared" si="3"/>
        <v>200000</v>
      </c>
      <c r="J67" s="11">
        <f t="shared" si="3"/>
        <v>225000</v>
      </c>
      <c r="K67" s="11">
        <f t="shared" si="3"/>
        <v>25000</v>
      </c>
      <c r="L67" s="11">
        <f t="shared" si="3"/>
        <v>650000</v>
      </c>
      <c r="M67" s="23"/>
    </row>
    <row r="68" spans="1:12" ht="12.75">
      <c r="A68" s="12"/>
      <c r="B68" s="12"/>
      <c r="C68" s="12"/>
      <c r="D68" s="12"/>
      <c r="E68" s="12"/>
      <c r="F68" s="78"/>
      <c r="H68" s="12"/>
      <c r="I68" s="12"/>
      <c r="J68" s="12"/>
      <c r="K68" s="12"/>
      <c r="L68" s="12"/>
    </row>
    <row r="69" spans="1:5" ht="12.75">
      <c r="A69" s="12"/>
      <c r="B69" s="12"/>
      <c r="C69" s="12"/>
      <c r="D69" s="12"/>
      <c r="E69" s="12"/>
    </row>
    <row r="70" spans="3:13" ht="12.75">
      <c r="C70" s="120">
        <v>37653</v>
      </c>
      <c r="D70" s="121">
        <v>38353</v>
      </c>
      <c r="M70"/>
    </row>
    <row r="71" spans="4:13" ht="12.75">
      <c r="D71" s="17"/>
      <c r="M71"/>
    </row>
    <row r="72" spans="1:13" ht="12.75">
      <c r="A72" s="69" t="s">
        <v>23</v>
      </c>
      <c r="B72" s="14"/>
      <c r="C72" s="131">
        <f>B61/1000</f>
        <v>1080</v>
      </c>
      <c r="D72" s="45">
        <f>B67/1000</f>
        <v>1114.2</v>
      </c>
      <c r="G72" s="65" t="s">
        <v>239</v>
      </c>
      <c r="M72"/>
    </row>
    <row r="73" spans="1:13" ht="12.75">
      <c r="A73" s="32" t="s">
        <v>25</v>
      </c>
      <c r="B73" s="40"/>
      <c r="C73" s="132">
        <f>SUM(C61:L61)/1000</f>
        <v>2088.1</v>
      </c>
      <c r="D73" s="45">
        <f>SUM(C67:L67)/1000</f>
        <v>2308.8</v>
      </c>
      <c r="G73" s="67"/>
      <c r="M73"/>
    </row>
    <row r="74" spans="1:13" ht="12.75">
      <c r="A74" s="30" t="s">
        <v>27</v>
      </c>
      <c r="B74" s="31"/>
      <c r="C74" s="133">
        <f>917472/1000</f>
        <v>917.472</v>
      </c>
      <c r="D74" s="103">
        <f>prix_cables!G78</f>
        <v>1296.7168000000001</v>
      </c>
      <c r="M74"/>
    </row>
    <row r="75" spans="1:13" ht="12.75">
      <c r="A75" s="25" t="s">
        <v>30</v>
      </c>
      <c r="B75" s="26"/>
      <c r="C75" s="134">
        <f>852520/1000</f>
        <v>852.52</v>
      </c>
      <c r="D75" s="45">
        <f>945568/1000</f>
        <v>945.568</v>
      </c>
      <c r="M75"/>
    </row>
    <row r="76" spans="3:13" ht="12.75">
      <c r="C76" s="64"/>
      <c r="D76" s="109"/>
      <c r="M76"/>
    </row>
    <row r="77" spans="1:13" ht="12.75">
      <c r="A77" s="67" t="s">
        <v>81</v>
      </c>
      <c r="C77" s="105">
        <f>SUM(C72:C75)</f>
        <v>4938.092000000001</v>
      </c>
      <c r="D77" s="103">
        <f>SUM(D72:D75)</f>
        <v>5665.2848</v>
      </c>
      <c r="M77"/>
    </row>
    <row r="78" spans="1:4" ht="12.75">
      <c r="A78" s="22" t="s">
        <v>8</v>
      </c>
      <c r="B78" s="17" t="s">
        <v>211</v>
      </c>
      <c r="C78" s="109">
        <v>310</v>
      </c>
      <c r="D78" s="109">
        <v>310</v>
      </c>
    </row>
    <row r="79" spans="3:4" ht="12.75">
      <c r="C79" s="64"/>
      <c r="D79" s="62"/>
    </row>
    <row r="80" spans="1:4" ht="15.75">
      <c r="A80" s="47" t="s">
        <v>35</v>
      </c>
      <c r="B80" s="38" t="s">
        <v>178</v>
      </c>
      <c r="C80" s="39">
        <f>(C77-C78)</f>
        <v>4628.092000000001</v>
      </c>
      <c r="D80" s="63">
        <f>(D77-D78)</f>
        <v>5355.2848</v>
      </c>
    </row>
    <row r="81" ht="12.75">
      <c r="E81" s="41"/>
    </row>
    <row r="82" ht="12.75">
      <c r="D82" s="41"/>
    </row>
  </sheetData>
  <printOptions/>
  <pageMargins left="0.75" right="0.75" top="0.7" bottom="0.4" header="0.5" footer="0.5"/>
  <pageSetup fitToHeight="2" horizontalDpi="1200" verticalDpi="1200" orientation="landscape" paperSize="9" scale="95" r:id="rId3"/>
  <headerFooter alignWithMargins="0">
    <oddHeader>&amp;C&amp;F</oddHeader>
    <oddFooter>&amp;C&amp;A</oddFooter>
  </headerFooter>
  <rowBreaks count="1" manualBreakCount="1">
    <brk id="40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4">
      <selection activeCell="G40" sqref="G40"/>
    </sheetView>
  </sheetViews>
  <sheetFormatPr defaultColWidth="9.140625" defaultRowHeight="12.75"/>
  <cols>
    <col min="1" max="1" width="5.28125" style="23" customWidth="1"/>
    <col min="2" max="2" width="48.140625" style="17" customWidth="1"/>
    <col min="3" max="3" width="13.57421875" style="23" customWidth="1"/>
    <col min="4" max="4" width="19.28125" style="23" customWidth="1"/>
    <col min="5" max="5" width="10.57421875" style="17" customWidth="1"/>
    <col min="6" max="6" width="11.28125" style="17" customWidth="1"/>
    <col min="7" max="7" width="12.7109375" style="62" customWidth="1"/>
    <col min="8" max="8" width="11.421875" style="0" customWidth="1"/>
  </cols>
  <sheetData>
    <row r="1" spans="2:7" ht="20.25">
      <c r="B1" s="44" t="s">
        <v>202</v>
      </c>
      <c r="G1" s="108" t="s">
        <v>242</v>
      </c>
    </row>
    <row r="2" spans="2:3" ht="20.25">
      <c r="B2" s="108"/>
      <c r="C2" s="44"/>
    </row>
    <row r="3" ht="12.75">
      <c r="D3" s="22"/>
    </row>
    <row r="4" spans="1:7" s="113" customFormat="1" ht="12.75">
      <c r="A4" s="51"/>
      <c r="B4" s="111" t="s">
        <v>181</v>
      </c>
      <c r="C4" s="111" t="s">
        <v>182</v>
      </c>
      <c r="D4" s="111" t="s">
        <v>179</v>
      </c>
      <c r="E4" s="111" t="s">
        <v>53</v>
      </c>
      <c r="F4" s="111" t="s">
        <v>48</v>
      </c>
      <c r="G4" s="112" t="s">
        <v>54</v>
      </c>
    </row>
    <row r="5" spans="2:7" ht="12.75">
      <c r="B5" s="23"/>
      <c r="C5" s="23" t="s">
        <v>183</v>
      </c>
      <c r="E5" s="23" t="s">
        <v>55</v>
      </c>
      <c r="F5" s="23" t="s">
        <v>56</v>
      </c>
      <c r="G5" s="109" t="s">
        <v>56</v>
      </c>
    </row>
    <row r="7" spans="1:8" ht="12.75">
      <c r="A7" s="23">
        <v>1</v>
      </c>
      <c r="B7" s="22" t="s">
        <v>186</v>
      </c>
      <c r="C7" s="23" t="s">
        <v>172</v>
      </c>
      <c r="D7" s="23" t="s">
        <v>155</v>
      </c>
      <c r="E7" s="11">
        <v>44000</v>
      </c>
      <c r="F7" s="23">
        <v>7.6</v>
      </c>
      <c r="G7" s="103">
        <f aca="true" t="shared" si="0" ref="G7:G14">E7*F7</f>
        <v>334400</v>
      </c>
      <c r="H7" s="12"/>
    </row>
    <row r="8" spans="1:7" ht="12.75">
      <c r="A8" s="23">
        <v>2</v>
      </c>
      <c r="B8" s="17" t="s">
        <v>185</v>
      </c>
      <c r="C8" s="23" t="s">
        <v>175</v>
      </c>
      <c r="D8" s="23" t="s">
        <v>170</v>
      </c>
      <c r="E8" s="11">
        <v>2000</v>
      </c>
      <c r="F8" s="23">
        <v>8.6</v>
      </c>
      <c r="G8" s="103">
        <f t="shared" si="0"/>
        <v>17200</v>
      </c>
    </row>
    <row r="9" spans="1:8" ht="12.75">
      <c r="A9" s="23">
        <v>3</v>
      </c>
      <c r="B9" s="22" t="s">
        <v>187</v>
      </c>
      <c r="C9" s="23" t="s">
        <v>173</v>
      </c>
      <c r="D9" s="110" t="s">
        <v>156</v>
      </c>
      <c r="E9" s="11">
        <v>32000</v>
      </c>
      <c r="F9" s="23">
        <v>3.5</v>
      </c>
      <c r="G9" s="103">
        <f t="shared" si="0"/>
        <v>112000</v>
      </c>
      <c r="H9" s="12"/>
    </row>
    <row r="10" spans="1:7" ht="12.75">
      <c r="A10" s="23">
        <v>4</v>
      </c>
      <c r="B10" s="22" t="s">
        <v>193</v>
      </c>
      <c r="C10" s="23" t="s">
        <v>173</v>
      </c>
      <c r="D10" s="23" t="s">
        <v>195</v>
      </c>
      <c r="E10" s="11">
        <v>7000</v>
      </c>
      <c r="F10" s="23">
        <v>3.5</v>
      </c>
      <c r="G10" s="103">
        <f t="shared" si="0"/>
        <v>24500</v>
      </c>
    </row>
    <row r="11" spans="1:7" ht="12.75">
      <c r="A11" s="23">
        <v>5</v>
      </c>
      <c r="B11" s="22" t="s">
        <v>184</v>
      </c>
      <c r="C11" s="23" t="s">
        <v>173</v>
      </c>
      <c r="D11" s="23" t="s">
        <v>150</v>
      </c>
      <c r="E11" s="11">
        <v>5980</v>
      </c>
      <c r="F11" s="23">
        <v>3.5</v>
      </c>
      <c r="G11" s="103">
        <f t="shared" si="0"/>
        <v>20930</v>
      </c>
    </row>
    <row r="12" spans="1:7" ht="12.75">
      <c r="A12" s="23">
        <v>6</v>
      </c>
      <c r="B12" s="22" t="s">
        <v>188</v>
      </c>
      <c r="C12" s="23" t="s">
        <v>173</v>
      </c>
      <c r="D12" s="23" t="s">
        <v>148</v>
      </c>
      <c r="E12" s="11">
        <v>12600</v>
      </c>
      <c r="F12" s="23">
        <v>3.5</v>
      </c>
      <c r="G12" s="103">
        <f t="shared" si="0"/>
        <v>44100</v>
      </c>
    </row>
    <row r="13" spans="1:8" ht="12.75">
      <c r="A13" s="23">
        <v>7</v>
      </c>
      <c r="B13" s="22" t="s">
        <v>190</v>
      </c>
      <c r="C13" s="23" t="s">
        <v>174</v>
      </c>
      <c r="D13" s="110" t="s">
        <v>157</v>
      </c>
      <c r="E13" s="11">
        <v>15160</v>
      </c>
      <c r="F13" s="23">
        <v>3.35</v>
      </c>
      <c r="G13" s="103">
        <f t="shared" si="0"/>
        <v>50786</v>
      </c>
      <c r="H13" s="12"/>
    </row>
    <row r="14" spans="1:7" ht="12.75">
      <c r="A14" s="23">
        <v>8</v>
      </c>
      <c r="B14" s="22" t="s">
        <v>191</v>
      </c>
      <c r="C14" s="23" t="s">
        <v>174</v>
      </c>
      <c r="D14" s="110" t="s">
        <v>142</v>
      </c>
      <c r="E14" s="11">
        <v>16200</v>
      </c>
      <c r="F14" s="23">
        <v>3.35</v>
      </c>
      <c r="G14" s="103">
        <f t="shared" si="0"/>
        <v>54270</v>
      </c>
    </row>
    <row r="16" spans="1:7" s="5" customFormat="1" ht="12.75">
      <c r="A16" s="13"/>
      <c r="B16" s="46" t="s">
        <v>81</v>
      </c>
      <c r="C16" s="46"/>
      <c r="D16" s="46"/>
      <c r="E16" s="46">
        <f>SUM(E7:E14)</f>
        <v>134940</v>
      </c>
      <c r="G16" s="105">
        <f>SUM(G7:G14)</f>
        <v>658186</v>
      </c>
    </row>
    <row r="18" spans="1:7" s="113" customFormat="1" ht="12.75">
      <c r="A18" s="51"/>
      <c r="B18" s="111" t="s">
        <v>180</v>
      </c>
      <c r="C18" s="111"/>
      <c r="D18" s="111"/>
      <c r="E18" s="111"/>
      <c r="F18" s="111" t="s">
        <v>83</v>
      </c>
      <c r="G18" s="112" t="s">
        <v>54</v>
      </c>
    </row>
    <row r="19" ht="12.75">
      <c r="D19" s="17"/>
    </row>
    <row r="20" spans="1:7" ht="12.75">
      <c r="A20" s="23">
        <v>1</v>
      </c>
      <c r="B20" s="22" t="s">
        <v>206</v>
      </c>
      <c r="C20" s="23" t="s">
        <v>145</v>
      </c>
      <c r="D20" s="23" t="s">
        <v>151</v>
      </c>
      <c r="E20" s="11">
        <v>560</v>
      </c>
      <c r="F20" s="11">
        <v>69</v>
      </c>
      <c r="G20" s="103">
        <f aca="true" t="shared" si="1" ref="G20:G26">E20*F20</f>
        <v>38640</v>
      </c>
    </row>
    <row r="21" spans="1:8" ht="12.75">
      <c r="A21" s="13"/>
      <c r="B21" s="5" t="s">
        <v>241</v>
      </c>
      <c r="C21" s="13">
        <v>35</v>
      </c>
      <c r="D21" s="13">
        <v>642</v>
      </c>
      <c r="E21" s="46">
        <v>642</v>
      </c>
      <c r="F21" s="46">
        <v>35</v>
      </c>
      <c r="G21" s="105">
        <f t="shared" si="1"/>
        <v>22470</v>
      </c>
      <c r="H21" s="5" t="s">
        <v>242</v>
      </c>
    </row>
    <row r="22" spans="1:7" ht="12.75">
      <c r="A22" s="23">
        <v>2</v>
      </c>
      <c r="B22" s="22" t="s">
        <v>189</v>
      </c>
      <c r="C22" s="23" t="s">
        <v>177</v>
      </c>
      <c r="D22" s="23">
        <v>4</v>
      </c>
      <c r="E22" s="11">
        <v>4</v>
      </c>
      <c r="F22" s="11">
        <v>110</v>
      </c>
      <c r="G22" s="103">
        <f t="shared" si="1"/>
        <v>440</v>
      </c>
    </row>
    <row r="23" spans="1:8" ht="12.75">
      <c r="A23" s="23">
        <v>4</v>
      </c>
      <c r="B23" s="22" t="s">
        <v>205</v>
      </c>
      <c r="C23" s="23" t="s">
        <v>233</v>
      </c>
      <c r="D23" s="23" t="s">
        <v>194</v>
      </c>
      <c r="E23" s="11">
        <v>1120</v>
      </c>
      <c r="F23" s="11">
        <v>26.5</v>
      </c>
      <c r="G23" s="103">
        <f t="shared" si="1"/>
        <v>29680</v>
      </c>
      <c r="H23" s="5" t="s">
        <v>208</v>
      </c>
    </row>
    <row r="24" spans="1:8" ht="12.75">
      <c r="A24" s="23">
        <v>5</v>
      </c>
      <c r="B24" s="22" t="s">
        <v>204</v>
      </c>
      <c r="C24" s="23" t="s">
        <v>233</v>
      </c>
      <c r="D24" s="23" t="s">
        <v>196</v>
      </c>
      <c r="E24" s="11">
        <v>2392</v>
      </c>
      <c r="F24" s="11">
        <v>26.5</v>
      </c>
      <c r="G24" s="103">
        <f t="shared" si="1"/>
        <v>63388</v>
      </c>
      <c r="H24" s="5" t="s">
        <v>208</v>
      </c>
    </row>
    <row r="25" spans="1:8" ht="12.75">
      <c r="A25" s="23">
        <v>6</v>
      </c>
      <c r="B25" s="22" t="s">
        <v>197</v>
      </c>
      <c r="C25" s="23" t="s">
        <v>233</v>
      </c>
      <c r="D25" s="23" t="s">
        <v>198</v>
      </c>
      <c r="E25" s="11">
        <v>5040</v>
      </c>
      <c r="F25" s="11">
        <v>26.5</v>
      </c>
      <c r="G25" s="103">
        <f t="shared" si="1"/>
        <v>133560</v>
      </c>
      <c r="H25" s="5" t="s">
        <v>208</v>
      </c>
    </row>
    <row r="26" spans="1:8" ht="12.75">
      <c r="A26" s="23" t="s">
        <v>192</v>
      </c>
      <c r="B26" s="22" t="s">
        <v>203</v>
      </c>
      <c r="C26" s="23" t="s">
        <v>228</v>
      </c>
      <c r="D26" s="23" t="s">
        <v>152</v>
      </c>
      <c r="E26" s="11">
        <v>7352</v>
      </c>
      <c r="F26" s="11">
        <v>22.5</v>
      </c>
      <c r="G26" s="103">
        <f t="shared" si="1"/>
        <v>165420</v>
      </c>
      <c r="H26" s="5" t="s">
        <v>208</v>
      </c>
    </row>
    <row r="28" spans="1:7" s="5" customFormat="1" ht="12.75">
      <c r="A28" s="13"/>
      <c r="B28" s="46" t="s">
        <v>81</v>
      </c>
      <c r="C28" s="46"/>
      <c r="D28" s="46"/>
      <c r="E28" s="46">
        <f>SUM(E20:E26)</f>
        <v>17110</v>
      </c>
      <c r="G28" s="105">
        <f>SUM(G20:G26)</f>
        <v>453598</v>
      </c>
    </row>
    <row r="31" spans="1:7" s="113" customFormat="1" ht="12.75">
      <c r="A31" s="51"/>
      <c r="B31" s="111" t="s">
        <v>91</v>
      </c>
      <c r="C31" s="111"/>
      <c r="D31" s="111"/>
      <c r="E31" s="111"/>
      <c r="F31" s="111" t="s">
        <v>96</v>
      </c>
      <c r="G31" s="112" t="s">
        <v>54</v>
      </c>
    </row>
    <row r="33" spans="2:7" ht="12.75">
      <c r="B33" s="22" t="s">
        <v>199</v>
      </c>
      <c r="D33" s="17"/>
      <c r="E33" s="11">
        <v>360</v>
      </c>
      <c r="F33" s="11">
        <v>65</v>
      </c>
      <c r="G33" s="103">
        <f>E33*F33</f>
        <v>23400</v>
      </c>
    </row>
    <row r="34" spans="2:7" ht="12.75">
      <c r="B34" s="22" t="s">
        <v>200</v>
      </c>
      <c r="D34" s="17"/>
      <c r="E34" s="11">
        <v>280</v>
      </c>
      <c r="F34" s="11">
        <v>230</v>
      </c>
      <c r="G34" s="103">
        <f>E34*F34</f>
        <v>64400</v>
      </c>
    </row>
    <row r="35" spans="2:7" ht="12.75">
      <c r="B35" s="22" t="s">
        <v>201</v>
      </c>
      <c r="D35" s="17"/>
      <c r="E35" s="11">
        <v>16</v>
      </c>
      <c r="F35" s="11">
        <v>30</v>
      </c>
      <c r="G35" s="103">
        <f>E35*F35</f>
        <v>480</v>
      </c>
    </row>
    <row r="37" spans="1:7" s="5" customFormat="1" ht="12.75">
      <c r="A37" s="13"/>
      <c r="B37" s="46" t="s">
        <v>81</v>
      </c>
      <c r="C37" s="13"/>
      <c r="E37" s="46">
        <f>SUM(E33:E35)</f>
        <v>656</v>
      </c>
      <c r="G37" s="105">
        <f>SUM(G33:G35)</f>
        <v>88280</v>
      </c>
    </row>
    <row r="39" spans="1:7" s="5" customFormat="1" ht="18">
      <c r="A39" s="13"/>
      <c r="B39" s="55" t="s">
        <v>207</v>
      </c>
      <c r="C39" s="13"/>
      <c r="D39" s="55"/>
      <c r="E39" s="55"/>
      <c r="F39" s="13"/>
      <c r="G39" s="107">
        <f>(G16+G28+G37)/1000</f>
        <v>1200.064</v>
      </c>
    </row>
    <row r="40" spans="2:7" ht="20.25">
      <c r="B40" s="44" t="s">
        <v>202</v>
      </c>
      <c r="G40" s="108" t="s">
        <v>242</v>
      </c>
    </row>
    <row r="41" spans="2:3" ht="20.25">
      <c r="B41" s="108"/>
      <c r="C41" s="44"/>
    </row>
    <row r="42" ht="12.75">
      <c r="D42" s="22"/>
    </row>
    <row r="43" spans="1:7" s="113" customFormat="1" ht="12.75">
      <c r="A43" s="51"/>
      <c r="B43" s="111" t="s">
        <v>181</v>
      </c>
      <c r="C43" s="111" t="s">
        <v>182</v>
      </c>
      <c r="D43" s="111" t="s">
        <v>179</v>
      </c>
      <c r="E43" s="111" t="s">
        <v>53</v>
      </c>
      <c r="F43" s="111" t="s">
        <v>48</v>
      </c>
      <c r="G43" s="112" t="s">
        <v>54</v>
      </c>
    </row>
    <row r="44" spans="2:7" ht="12.75">
      <c r="B44" s="23"/>
      <c r="C44" s="23" t="s">
        <v>183</v>
      </c>
      <c r="E44" s="23" t="s">
        <v>55</v>
      </c>
      <c r="F44" s="23" t="s">
        <v>56</v>
      </c>
      <c r="G44" s="109" t="s">
        <v>56</v>
      </c>
    </row>
    <row r="46" spans="1:8" ht="12.75">
      <c r="A46" s="23">
        <v>1</v>
      </c>
      <c r="B46" s="22" t="s">
        <v>186</v>
      </c>
      <c r="C46" s="23" t="s">
        <v>172</v>
      </c>
      <c r="D46" s="23" t="s">
        <v>155</v>
      </c>
      <c r="E46" s="11">
        <v>44000</v>
      </c>
      <c r="F46" s="23">
        <v>7.6</v>
      </c>
      <c r="G46" s="103">
        <f aca="true" t="shared" si="2" ref="G46:G53">E46*F46</f>
        <v>334400</v>
      </c>
      <c r="H46" s="12"/>
    </row>
    <row r="47" spans="1:7" ht="12.75">
      <c r="A47" s="23">
        <v>2</v>
      </c>
      <c r="B47" s="17" t="s">
        <v>185</v>
      </c>
      <c r="C47" s="23" t="s">
        <v>175</v>
      </c>
      <c r="D47" s="23" t="s">
        <v>170</v>
      </c>
      <c r="E47" s="11">
        <v>2000</v>
      </c>
      <c r="F47" s="23">
        <v>8.6</v>
      </c>
      <c r="G47" s="103">
        <f t="shared" si="2"/>
        <v>17200</v>
      </c>
    </row>
    <row r="48" spans="1:8" ht="12.75">
      <c r="A48" s="23">
        <v>3</v>
      </c>
      <c r="B48" s="22" t="s">
        <v>187</v>
      </c>
      <c r="C48" s="23" t="s">
        <v>173</v>
      </c>
      <c r="D48" s="110" t="s">
        <v>156</v>
      </c>
      <c r="E48" s="11">
        <v>32000</v>
      </c>
      <c r="F48" s="23">
        <v>3.5</v>
      </c>
      <c r="G48" s="103">
        <f t="shared" si="2"/>
        <v>112000</v>
      </c>
      <c r="H48" s="12"/>
    </row>
    <row r="49" spans="1:7" ht="12.75">
      <c r="A49" s="23">
        <v>4</v>
      </c>
      <c r="B49" s="22" t="s">
        <v>193</v>
      </c>
      <c r="C49" s="23" t="s">
        <v>173</v>
      </c>
      <c r="D49" s="23" t="s">
        <v>195</v>
      </c>
      <c r="E49" s="11">
        <v>7000</v>
      </c>
      <c r="F49" s="23">
        <v>3.5</v>
      </c>
      <c r="G49" s="103">
        <f t="shared" si="2"/>
        <v>24500</v>
      </c>
    </row>
    <row r="50" spans="1:7" ht="12.75">
      <c r="A50" s="23">
        <v>5</v>
      </c>
      <c r="B50" s="22" t="s">
        <v>184</v>
      </c>
      <c r="C50" s="23" t="s">
        <v>173</v>
      </c>
      <c r="D50" s="23" t="s">
        <v>150</v>
      </c>
      <c r="E50" s="11">
        <v>5980</v>
      </c>
      <c r="F50" s="23">
        <v>3.5</v>
      </c>
      <c r="G50" s="103">
        <f t="shared" si="2"/>
        <v>20930</v>
      </c>
    </row>
    <row r="51" spans="1:7" ht="12.75">
      <c r="A51" s="23">
        <v>6</v>
      </c>
      <c r="B51" s="22" t="s">
        <v>188</v>
      </c>
      <c r="C51" s="23" t="s">
        <v>173</v>
      </c>
      <c r="D51" s="23" t="s">
        <v>148</v>
      </c>
      <c r="E51" s="11">
        <v>12600</v>
      </c>
      <c r="F51" s="23">
        <v>3.5</v>
      </c>
      <c r="G51" s="103">
        <f t="shared" si="2"/>
        <v>44100</v>
      </c>
    </row>
    <row r="52" spans="1:8" ht="12.75">
      <c r="A52" s="23">
        <v>7</v>
      </c>
      <c r="B52" s="22" t="s">
        <v>190</v>
      </c>
      <c r="C52" s="23" t="s">
        <v>174</v>
      </c>
      <c r="D52" s="110" t="s">
        <v>157</v>
      </c>
      <c r="E52" s="11">
        <v>15160</v>
      </c>
      <c r="F52" s="23">
        <v>3.35</v>
      </c>
      <c r="G52" s="103">
        <f t="shared" si="2"/>
        <v>50786</v>
      </c>
      <c r="H52" s="12"/>
    </row>
    <row r="53" spans="1:7" ht="12.75">
      <c r="A53" s="23">
        <v>8</v>
      </c>
      <c r="B53" s="22" t="s">
        <v>191</v>
      </c>
      <c r="C53" s="23" t="s">
        <v>174</v>
      </c>
      <c r="D53" s="110" t="s">
        <v>142</v>
      </c>
      <c r="E53" s="11">
        <v>16200</v>
      </c>
      <c r="F53" s="23">
        <v>3.35</v>
      </c>
      <c r="G53" s="103">
        <f t="shared" si="2"/>
        <v>54270</v>
      </c>
    </row>
    <row r="55" spans="1:7" s="5" customFormat="1" ht="12.75">
      <c r="A55" s="13"/>
      <c r="B55" s="46" t="s">
        <v>81</v>
      </c>
      <c r="C55" s="46"/>
      <c r="D55" s="46"/>
      <c r="E55" s="46">
        <f>SUM(E46:E53)</f>
        <v>134940</v>
      </c>
      <c r="G55" s="105">
        <f>SUM(G46:G53)</f>
        <v>658186</v>
      </c>
    </row>
    <row r="57" spans="1:8" ht="12.75">
      <c r="A57" s="51"/>
      <c r="B57" s="111" t="s">
        <v>180</v>
      </c>
      <c r="C57" s="111"/>
      <c r="D57" s="111"/>
      <c r="E57" s="111"/>
      <c r="F57" s="111" t="s">
        <v>83</v>
      </c>
      <c r="G57" s="112" t="s">
        <v>54</v>
      </c>
      <c r="H57" s="113"/>
    </row>
    <row r="58" spans="1:8" s="113" customFormat="1" ht="12.75">
      <c r="A58" s="23"/>
      <c r="B58" s="17"/>
      <c r="C58" s="23"/>
      <c r="D58" s="17"/>
      <c r="E58" s="17"/>
      <c r="F58" s="17"/>
      <c r="G58" s="62"/>
      <c r="H58"/>
    </row>
    <row r="59" spans="1:7" ht="12.75">
      <c r="A59" s="23">
        <v>1</v>
      </c>
      <c r="B59" s="22" t="s">
        <v>206</v>
      </c>
      <c r="C59" s="23" t="s">
        <v>145</v>
      </c>
      <c r="D59" s="23" t="s">
        <v>151</v>
      </c>
      <c r="E59" s="11">
        <v>560</v>
      </c>
      <c r="F59" s="11">
        <v>69</v>
      </c>
      <c r="G59" s="103">
        <f aca="true" t="shared" si="3" ref="G59:G65">E59*F59</f>
        <v>38640</v>
      </c>
    </row>
    <row r="60" spans="1:8" ht="12.75">
      <c r="A60" s="13"/>
      <c r="B60" s="5" t="s">
        <v>241</v>
      </c>
      <c r="C60" s="13">
        <v>35</v>
      </c>
      <c r="D60" s="13">
        <v>642</v>
      </c>
      <c r="E60" s="46">
        <v>642</v>
      </c>
      <c r="F60" s="46">
        <v>35</v>
      </c>
      <c r="G60" s="105">
        <f t="shared" si="3"/>
        <v>22470</v>
      </c>
      <c r="H60" s="5" t="s">
        <v>242</v>
      </c>
    </row>
    <row r="61" spans="1:7" ht="12.75">
      <c r="A61" s="23">
        <v>2</v>
      </c>
      <c r="B61" s="22" t="s">
        <v>189</v>
      </c>
      <c r="C61" s="23" t="s">
        <v>177</v>
      </c>
      <c r="D61" s="23">
        <v>4</v>
      </c>
      <c r="E61" s="11">
        <v>4</v>
      </c>
      <c r="F61" s="11">
        <v>110</v>
      </c>
      <c r="G61" s="103">
        <f t="shared" si="3"/>
        <v>440</v>
      </c>
    </row>
    <row r="62" spans="1:8" ht="12.75">
      <c r="A62" s="23">
        <v>4</v>
      </c>
      <c r="B62" s="22" t="s">
        <v>205</v>
      </c>
      <c r="C62" s="23" t="s">
        <v>231</v>
      </c>
      <c r="D62" s="23" t="s">
        <v>194</v>
      </c>
      <c r="E62" s="11">
        <v>1120</v>
      </c>
      <c r="F62" s="11">
        <v>31.4</v>
      </c>
      <c r="G62" s="103">
        <f t="shared" si="3"/>
        <v>35168</v>
      </c>
      <c r="H62" s="5" t="s">
        <v>232</v>
      </c>
    </row>
    <row r="63" spans="1:8" ht="12.75">
      <c r="A63" s="23">
        <v>5</v>
      </c>
      <c r="B63" s="22" t="s">
        <v>204</v>
      </c>
      <c r="C63" s="23" t="s">
        <v>231</v>
      </c>
      <c r="D63" s="23" t="s">
        <v>196</v>
      </c>
      <c r="E63" s="11">
        <v>2392</v>
      </c>
      <c r="F63" s="11">
        <v>26.5</v>
      </c>
      <c r="G63" s="103">
        <f t="shared" si="3"/>
        <v>63388</v>
      </c>
      <c r="H63" s="5" t="s">
        <v>232</v>
      </c>
    </row>
    <row r="64" spans="1:8" ht="12.75">
      <c r="A64" s="23">
        <v>6</v>
      </c>
      <c r="B64" s="22" t="s">
        <v>197</v>
      </c>
      <c r="C64" s="23" t="s">
        <v>231</v>
      </c>
      <c r="D64" s="23" t="s">
        <v>198</v>
      </c>
      <c r="E64" s="11">
        <v>5040</v>
      </c>
      <c r="F64" s="11">
        <v>26.5</v>
      </c>
      <c r="G64" s="103">
        <f t="shared" si="3"/>
        <v>133560</v>
      </c>
      <c r="H64" s="5" t="s">
        <v>232</v>
      </c>
    </row>
    <row r="65" spans="1:8" ht="12.75">
      <c r="A65" s="23" t="s">
        <v>192</v>
      </c>
      <c r="B65" s="22" t="s">
        <v>203</v>
      </c>
      <c r="C65" s="23" t="s">
        <v>229</v>
      </c>
      <c r="D65" s="23" t="s">
        <v>152</v>
      </c>
      <c r="E65" s="11">
        <v>7352</v>
      </c>
      <c r="F65" s="11">
        <v>34.9</v>
      </c>
      <c r="G65" s="103">
        <f t="shared" si="3"/>
        <v>256584.8</v>
      </c>
      <c r="H65" s="5" t="s">
        <v>230</v>
      </c>
    </row>
    <row r="67" spans="1:7" s="5" customFormat="1" ht="12.75">
      <c r="A67" s="13"/>
      <c r="B67" s="46" t="s">
        <v>81</v>
      </c>
      <c r="C67" s="46"/>
      <c r="D67" s="46"/>
      <c r="E67" s="46">
        <f>SUM(E59:E65)</f>
        <v>17110</v>
      </c>
      <c r="G67" s="105">
        <f>SUM(G59:G65)</f>
        <v>550250.8</v>
      </c>
    </row>
    <row r="70" spans="1:7" s="113" customFormat="1" ht="12.75">
      <c r="A70" s="51"/>
      <c r="B70" s="111" t="s">
        <v>91</v>
      </c>
      <c r="C70" s="111"/>
      <c r="D70" s="111"/>
      <c r="E70" s="111"/>
      <c r="F70" s="111" t="s">
        <v>96</v>
      </c>
      <c r="G70" s="112" t="s">
        <v>54</v>
      </c>
    </row>
    <row r="72" spans="2:7" ht="12.75">
      <c r="B72" s="22" t="s">
        <v>199</v>
      </c>
      <c r="D72" s="17"/>
      <c r="E72" s="11">
        <v>360</v>
      </c>
      <c r="F72" s="11">
        <v>65</v>
      </c>
      <c r="G72" s="103">
        <f>E72*F72</f>
        <v>23400</v>
      </c>
    </row>
    <row r="73" spans="2:7" ht="12.75">
      <c r="B73" s="22" t="s">
        <v>200</v>
      </c>
      <c r="D73" s="17"/>
      <c r="E73" s="11">
        <v>280</v>
      </c>
      <c r="F73" s="11">
        <v>230</v>
      </c>
      <c r="G73" s="103">
        <f>E73*F73</f>
        <v>64400</v>
      </c>
    </row>
    <row r="74" spans="2:7" ht="12.75">
      <c r="B74" s="22" t="s">
        <v>201</v>
      </c>
      <c r="D74" s="17"/>
      <c r="E74" s="11">
        <v>16</v>
      </c>
      <c r="F74" s="11">
        <v>30</v>
      </c>
      <c r="G74" s="103">
        <f>E74*F74</f>
        <v>480</v>
      </c>
    </row>
    <row r="76" spans="1:7" s="5" customFormat="1" ht="12.75">
      <c r="A76" s="13"/>
      <c r="B76" s="46" t="s">
        <v>81</v>
      </c>
      <c r="C76" s="13"/>
      <c r="E76" s="46">
        <f>SUM(E72:E74)</f>
        <v>656</v>
      </c>
      <c r="G76" s="105">
        <f>SUM(G72:G74)</f>
        <v>88280</v>
      </c>
    </row>
    <row r="78" spans="1:7" s="5" customFormat="1" ht="18">
      <c r="A78" s="13"/>
      <c r="B78" s="55" t="s">
        <v>207</v>
      </c>
      <c r="C78" s="13"/>
      <c r="D78" s="55"/>
      <c r="E78" s="55"/>
      <c r="F78" s="13"/>
      <c r="G78" s="107">
        <f>(G55+G67+G76)/1000</f>
        <v>1296.7168000000001</v>
      </c>
    </row>
  </sheetData>
  <printOptions/>
  <pageMargins left="0.75" right="0.75" top="0.5" bottom="0.5" header="0.5" footer="0.5"/>
  <pageSetup horizontalDpi="355" verticalDpi="355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H37" sqref="H37"/>
    </sheetView>
  </sheetViews>
  <sheetFormatPr defaultColWidth="9.140625" defaultRowHeight="12.75"/>
  <cols>
    <col min="1" max="1" width="13.140625" style="0" customWidth="1"/>
    <col min="2" max="2" width="10.57421875" style="0" customWidth="1"/>
    <col min="10" max="10" width="7.7109375" style="0" customWidth="1"/>
    <col min="11" max="11" width="7.421875" style="0" customWidth="1"/>
    <col min="12" max="12" width="6.57421875" style="0" customWidth="1"/>
    <col min="13" max="13" width="3.8515625" style="0" customWidth="1"/>
    <col min="14" max="14" width="6.140625" style="0" customWidth="1"/>
    <col min="15" max="15" width="7.140625" style="0" customWidth="1"/>
    <col min="16" max="17" width="8.140625" style="0" customWidth="1"/>
    <col min="18" max="18" width="8.57421875" style="0" customWidth="1"/>
    <col min="19" max="19" width="8.7109375" style="0" customWidth="1"/>
    <col min="20" max="20" width="7.00390625" style="0" customWidth="1"/>
    <col min="21" max="21" width="6.421875" style="0" customWidth="1"/>
    <col min="22" max="22" width="7.7109375" style="0" customWidth="1"/>
    <col min="23" max="23" width="7.57421875" style="0" customWidth="1"/>
    <col min="24" max="25" width="6.421875" style="0" customWidth="1"/>
    <col min="26" max="26" width="14.00390625" style="0" customWidth="1"/>
  </cols>
  <sheetData>
    <row r="1" ht="15.75">
      <c r="C1" s="58" t="s">
        <v>226</v>
      </c>
    </row>
    <row r="2" ht="15.75">
      <c r="C2" s="58"/>
    </row>
    <row r="3" ht="15.75">
      <c r="C3" s="58"/>
    </row>
    <row r="4" spans="1:3" ht="15.75">
      <c r="A4" s="12">
        <v>2003</v>
      </c>
      <c r="C4" s="58"/>
    </row>
    <row r="6" spans="1:8" ht="12.75">
      <c r="A6" s="82"/>
      <c r="B6" s="83"/>
      <c r="C6" s="84" t="s">
        <v>131</v>
      </c>
      <c r="D6" s="84" t="s">
        <v>132</v>
      </c>
      <c r="E6" s="122" t="s">
        <v>131</v>
      </c>
      <c r="F6" s="122" t="s">
        <v>132</v>
      </c>
      <c r="G6" s="83"/>
      <c r="H6" s="85"/>
    </row>
    <row r="7" spans="1:8" ht="12.75">
      <c r="A7" s="86" t="s">
        <v>24</v>
      </c>
      <c r="B7" s="87"/>
      <c r="C7" s="88">
        <v>1260</v>
      </c>
      <c r="D7" s="88">
        <v>89000</v>
      </c>
      <c r="E7" s="12">
        <v>1280</v>
      </c>
      <c r="F7" s="12">
        <f>E7*G7</f>
        <v>90368</v>
      </c>
      <c r="G7" s="88">
        <v>70.6</v>
      </c>
      <c r="H7" s="90"/>
    </row>
    <row r="8" spans="1:8" ht="12.75">
      <c r="A8" s="86" t="s">
        <v>26</v>
      </c>
      <c r="B8" s="87"/>
      <c r="C8" s="88">
        <v>720</v>
      </c>
      <c r="D8" s="88">
        <v>52000</v>
      </c>
      <c r="E8" s="12">
        <v>720</v>
      </c>
      <c r="F8" s="12"/>
      <c r="G8" s="88" t="s">
        <v>130</v>
      </c>
      <c r="H8" s="90"/>
    </row>
    <row r="9" spans="1:8" ht="12.75">
      <c r="A9" s="86" t="s">
        <v>216</v>
      </c>
      <c r="E9" s="12">
        <v>160</v>
      </c>
      <c r="H9" s="12"/>
    </row>
    <row r="10" spans="1:8" ht="12.75">
      <c r="A10" s="86" t="s">
        <v>28</v>
      </c>
      <c r="B10" s="87"/>
      <c r="C10" s="88">
        <v>1260</v>
      </c>
      <c r="D10" s="88">
        <f>C10*G10</f>
        <v>378000</v>
      </c>
      <c r="E10" s="12">
        <v>1280</v>
      </c>
      <c r="F10" s="12">
        <f>E10*G10</f>
        <v>384000</v>
      </c>
      <c r="G10" s="88">
        <v>300</v>
      </c>
      <c r="H10" s="90" t="s">
        <v>29</v>
      </c>
    </row>
    <row r="11" spans="1:8" ht="12.75">
      <c r="A11" s="86" t="s">
        <v>31</v>
      </c>
      <c r="B11" s="87"/>
      <c r="C11" s="88">
        <v>720</v>
      </c>
      <c r="D11" s="88">
        <f>C11*G11</f>
        <v>216000</v>
      </c>
      <c r="E11" s="12"/>
      <c r="F11" s="12">
        <f>E11*G11</f>
        <v>0</v>
      </c>
      <c r="G11" s="88">
        <v>300</v>
      </c>
      <c r="H11" s="90" t="s">
        <v>29</v>
      </c>
    </row>
    <row r="12" spans="1:8" ht="12.75">
      <c r="A12" s="91" t="s">
        <v>32</v>
      </c>
      <c r="B12" s="92"/>
      <c r="C12" s="93">
        <f>C17*2</f>
        <v>2260</v>
      </c>
      <c r="D12" s="93">
        <f>C12*G12</f>
        <v>117520</v>
      </c>
      <c r="E12" s="123">
        <f>E17*2</f>
        <v>2560</v>
      </c>
      <c r="F12" s="12">
        <f>E12*G12</f>
        <v>133120</v>
      </c>
      <c r="G12" s="93">
        <v>52</v>
      </c>
      <c r="H12" s="94"/>
    </row>
    <row r="14" spans="1:4" ht="12.75">
      <c r="A14" s="130" t="s">
        <v>81</v>
      </c>
      <c r="D14" s="5">
        <f>SUM(D7:D12)</f>
        <v>852520</v>
      </c>
    </row>
    <row r="16" spans="1:7" ht="12.75">
      <c r="A16" s="33" t="s">
        <v>33</v>
      </c>
      <c r="B16" s="17"/>
      <c r="C16" s="29">
        <v>1130</v>
      </c>
      <c r="D16" s="29">
        <f>C16*G16</f>
        <v>169500</v>
      </c>
      <c r="E16" s="12">
        <v>1280</v>
      </c>
      <c r="G16" s="66">
        <v>150</v>
      </c>
    </row>
    <row r="17" spans="1:7" ht="12.75">
      <c r="A17" s="33" t="s">
        <v>34</v>
      </c>
      <c r="B17" s="17"/>
      <c r="C17" s="29">
        <v>1130</v>
      </c>
      <c r="D17" s="29">
        <f>C17*G17</f>
        <v>169500</v>
      </c>
      <c r="E17" s="12">
        <v>1280</v>
      </c>
      <c r="G17" s="66">
        <v>150</v>
      </c>
    </row>
    <row r="21" ht="12.75">
      <c r="A21" s="12">
        <v>2005</v>
      </c>
    </row>
    <row r="23" spans="2:6" ht="12.75">
      <c r="B23" s="12"/>
      <c r="C23" s="12" t="s">
        <v>221</v>
      </c>
      <c r="D23" s="12" t="s">
        <v>222</v>
      </c>
      <c r="E23" s="12" t="s">
        <v>227</v>
      </c>
      <c r="F23" s="12"/>
    </row>
    <row r="24" spans="2:6" ht="12.75">
      <c r="B24" s="12"/>
      <c r="C24" s="12"/>
      <c r="D24" s="12"/>
      <c r="E24" s="12"/>
      <c r="F24" s="12"/>
    </row>
    <row r="25" spans="1:6" ht="12.75">
      <c r="A25" t="s">
        <v>220</v>
      </c>
      <c r="B25" s="12" t="s">
        <v>219</v>
      </c>
      <c r="C25" s="12">
        <v>560</v>
      </c>
      <c r="D25" s="12">
        <v>184</v>
      </c>
      <c r="E25" s="12">
        <v>72</v>
      </c>
      <c r="F25" s="12">
        <f aca="true" t="shared" si="0" ref="F25:F30">(C25+D25)*E25</f>
        <v>53568</v>
      </c>
    </row>
    <row r="26" spans="1:6" ht="12.75">
      <c r="A26" t="s">
        <v>220</v>
      </c>
      <c r="B26" s="12" t="s">
        <v>223</v>
      </c>
      <c r="C26" s="12">
        <v>720</v>
      </c>
      <c r="D26" s="23">
        <v>720</v>
      </c>
      <c r="E26" s="12">
        <v>72</v>
      </c>
      <c r="F26" s="12">
        <f t="shared" si="0"/>
        <v>103680</v>
      </c>
    </row>
    <row r="27" spans="1:6" ht="12.75">
      <c r="A27" t="s">
        <v>224</v>
      </c>
      <c r="B27" s="12" t="s">
        <v>219</v>
      </c>
      <c r="C27" s="12">
        <v>1120</v>
      </c>
      <c r="D27" s="12">
        <v>368</v>
      </c>
      <c r="E27" s="12">
        <v>150</v>
      </c>
      <c r="F27" s="12">
        <f t="shared" si="0"/>
        <v>223200</v>
      </c>
    </row>
    <row r="28" spans="1:6" ht="12.75">
      <c r="A28" t="s">
        <v>224</v>
      </c>
      <c r="B28" s="12" t="s">
        <v>223</v>
      </c>
      <c r="C28" s="12">
        <v>1440</v>
      </c>
      <c r="D28" s="13">
        <v>1440</v>
      </c>
      <c r="E28" s="12">
        <v>150</v>
      </c>
      <c r="F28" s="12">
        <f t="shared" si="0"/>
        <v>432000</v>
      </c>
    </row>
    <row r="29" spans="1:6" ht="12.75">
      <c r="A29" t="s">
        <v>225</v>
      </c>
      <c r="B29" s="12" t="s">
        <v>219</v>
      </c>
      <c r="C29" s="12">
        <v>1120</v>
      </c>
      <c r="D29" s="12">
        <v>0</v>
      </c>
      <c r="E29" s="12">
        <v>52</v>
      </c>
      <c r="F29" s="12">
        <f t="shared" si="0"/>
        <v>58240</v>
      </c>
    </row>
    <row r="30" spans="1:6" ht="12.75">
      <c r="A30" t="s">
        <v>225</v>
      </c>
      <c r="B30" s="12" t="s">
        <v>223</v>
      </c>
      <c r="C30" s="12">
        <v>1440</v>
      </c>
      <c r="D30" s="12">
        <v>0</v>
      </c>
      <c r="E30" s="12">
        <v>52</v>
      </c>
      <c r="F30" s="12">
        <f t="shared" si="0"/>
        <v>74880</v>
      </c>
    </row>
    <row r="31" spans="2:6" ht="12.75">
      <c r="B31" s="12"/>
      <c r="C31" s="12"/>
      <c r="D31" s="12"/>
      <c r="E31" s="12"/>
      <c r="F31" s="12"/>
    </row>
    <row r="32" spans="1:6" ht="12.75">
      <c r="A32" t="s">
        <v>81</v>
      </c>
      <c r="B32" s="12"/>
      <c r="C32" s="12"/>
      <c r="D32" s="12"/>
      <c r="E32" s="12"/>
      <c r="F32" s="13">
        <f>SUM(F25:F30)</f>
        <v>945568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D28" sqref="D28"/>
    </sheetView>
  </sheetViews>
  <sheetFormatPr defaultColWidth="9.140625" defaultRowHeight="12.75"/>
  <cols>
    <col min="2" max="2" width="12.8515625" style="0" customWidth="1"/>
    <col min="3" max="3" width="12.57421875" style="0" customWidth="1"/>
    <col min="4" max="4" width="10.8515625" style="0" customWidth="1"/>
    <col min="5" max="5" width="10.28125" style="0" customWidth="1"/>
    <col min="6" max="6" width="11.8515625" style="0" customWidth="1"/>
    <col min="8" max="8" width="10.140625" style="0" customWidth="1"/>
    <col min="9" max="9" width="9.57421875" style="0" customWidth="1"/>
    <col min="10" max="10" width="10.7109375" style="0" customWidth="1"/>
    <col min="11" max="12" width="10.00390625" style="0" customWidth="1"/>
  </cols>
  <sheetData>
    <row r="1" spans="5:12" ht="20.25">
      <c r="E1" s="1" t="s">
        <v>128</v>
      </c>
      <c r="L1" s="2" t="s">
        <v>126</v>
      </c>
    </row>
    <row r="4" spans="1:8" ht="15.75">
      <c r="A4" s="3" t="s">
        <v>1</v>
      </c>
      <c r="B4" s="3"/>
      <c r="C4" s="4">
        <f>D32</f>
        <v>4628.092</v>
      </c>
      <c r="D4" s="5" t="s">
        <v>2</v>
      </c>
      <c r="E4" s="6" t="s">
        <v>3</v>
      </c>
      <c r="G4" s="3" t="s">
        <v>122</v>
      </c>
      <c r="H4" s="3"/>
    </row>
    <row r="5" spans="1:8" ht="15.75">
      <c r="A5" s="7" t="s">
        <v>4</v>
      </c>
      <c r="B5" s="7"/>
      <c r="C5" s="7">
        <v>101</v>
      </c>
      <c r="D5" s="8" t="s">
        <v>2</v>
      </c>
      <c r="E5" s="9">
        <f>SUM(C4:C5)</f>
        <v>4729.092</v>
      </c>
      <c r="F5" s="16" t="s">
        <v>2</v>
      </c>
      <c r="G5" s="96">
        <v>5021</v>
      </c>
      <c r="H5" s="16" t="s">
        <v>2</v>
      </c>
    </row>
    <row r="7" spans="1:4" ht="15.75">
      <c r="A7" s="7"/>
      <c r="B7" s="7"/>
      <c r="C7" s="7"/>
      <c r="D7" s="8"/>
    </row>
    <row r="8" spans="1:12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10" spans="1:7" ht="15.75">
      <c r="A10" s="3"/>
      <c r="C10" s="70" t="s">
        <v>5</v>
      </c>
      <c r="E10" s="70" t="s">
        <v>127</v>
      </c>
      <c r="F10" s="77"/>
      <c r="G10" s="73"/>
    </row>
    <row r="11" spans="3:7" ht="12.75">
      <c r="C11" s="70"/>
      <c r="E11" s="70"/>
      <c r="F11" s="77"/>
      <c r="G11" s="73"/>
    </row>
    <row r="12" spans="1:12" ht="12.75">
      <c r="A12" s="11"/>
      <c r="B12" s="12" t="s">
        <v>7</v>
      </c>
      <c r="C12" s="71" t="s">
        <v>136</v>
      </c>
      <c r="D12" s="12" t="s">
        <v>133</v>
      </c>
      <c r="E12" s="71" t="s">
        <v>133</v>
      </c>
      <c r="F12" s="78" t="s">
        <v>135</v>
      </c>
      <c r="G12" s="74" t="s">
        <v>8</v>
      </c>
      <c r="H12" s="12" t="s">
        <v>10</v>
      </c>
      <c r="I12" s="12" t="s">
        <v>8</v>
      </c>
      <c r="J12" s="12" t="s">
        <v>11</v>
      </c>
      <c r="K12" s="12" t="s">
        <v>12</v>
      </c>
      <c r="L12" s="12" t="s">
        <v>13</v>
      </c>
    </row>
    <row r="13" spans="1:12" ht="12.75">
      <c r="A13" s="12"/>
      <c r="B13" s="12"/>
      <c r="C13" s="70"/>
      <c r="D13" s="12"/>
      <c r="E13" s="71"/>
      <c r="F13" s="78"/>
      <c r="G13" s="74" t="s">
        <v>123</v>
      </c>
      <c r="H13" s="12"/>
      <c r="I13" s="12" t="s">
        <v>15</v>
      </c>
      <c r="J13" s="12" t="s">
        <v>16</v>
      </c>
      <c r="K13" s="12"/>
      <c r="L13" s="12" t="s">
        <v>17</v>
      </c>
    </row>
    <row r="14" spans="1:12" ht="12.75">
      <c r="A14" s="12"/>
      <c r="B14" s="12"/>
      <c r="C14" s="71"/>
      <c r="D14" s="12"/>
      <c r="E14" s="71"/>
      <c r="F14" s="78"/>
      <c r="G14" s="73"/>
      <c r="H14" s="12"/>
      <c r="I14" s="12"/>
      <c r="J14" s="12"/>
      <c r="K14" s="12"/>
      <c r="L14" s="12"/>
    </row>
    <row r="15" spans="1:12" ht="12.75">
      <c r="A15" s="12" t="s">
        <v>134</v>
      </c>
      <c r="B15" s="12" t="s">
        <v>19</v>
      </c>
      <c r="C15" s="71">
        <v>4</v>
      </c>
      <c r="D15" s="12" t="s">
        <v>20</v>
      </c>
      <c r="E15" s="71">
        <v>46</v>
      </c>
      <c r="F15" s="78">
        <v>46</v>
      </c>
      <c r="G15" s="74">
        <v>46</v>
      </c>
      <c r="H15" s="12">
        <v>2</v>
      </c>
      <c r="I15" s="23">
        <v>3</v>
      </c>
      <c r="J15" s="23">
        <v>3</v>
      </c>
      <c r="K15" s="12">
        <v>3</v>
      </c>
      <c r="L15" s="12">
        <v>36</v>
      </c>
    </row>
    <row r="16" spans="1:12" ht="12.75">
      <c r="A16" s="12"/>
      <c r="B16" s="12"/>
      <c r="C16" s="71"/>
      <c r="D16" s="12"/>
      <c r="E16" s="71"/>
      <c r="F16" s="78"/>
      <c r="G16" s="73"/>
      <c r="H16" s="12"/>
      <c r="I16" s="12"/>
      <c r="J16" s="12"/>
      <c r="K16" s="12"/>
      <c r="L16" s="12"/>
    </row>
    <row r="17" spans="1:12" ht="12.75">
      <c r="A17" s="11" t="s">
        <v>21</v>
      </c>
      <c r="B17" s="13">
        <v>3600</v>
      </c>
      <c r="C17" s="81">
        <v>32</v>
      </c>
      <c r="D17" s="13">
        <v>197</v>
      </c>
      <c r="E17" s="81">
        <f aca="true" t="shared" si="0" ref="E17:L17">E15*8</f>
        <v>368</v>
      </c>
      <c r="F17" s="97">
        <f t="shared" si="0"/>
        <v>368</v>
      </c>
      <c r="G17" s="98">
        <f t="shared" si="0"/>
        <v>368</v>
      </c>
      <c r="H17" s="13">
        <f t="shared" si="0"/>
        <v>16</v>
      </c>
      <c r="I17" s="13">
        <f t="shared" si="0"/>
        <v>24</v>
      </c>
      <c r="J17" s="13">
        <f t="shared" si="0"/>
        <v>24</v>
      </c>
      <c r="K17" s="13">
        <f t="shared" si="0"/>
        <v>24</v>
      </c>
      <c r="L17" s="13">
        <f t="shared" si="0"/>
        <v>288</v>
      </c>
    </row>
    <row r="18" spans="1:12" ht="12.75">
      <c r="A18" s="12"/>
      <c r="B18" s="12"/>
      <c r="C18" s="71"/>
      <c r="E18" s="70"/>
      <c r="F18" s="78"/>
      <c r="G18" s="73"/>
      <c r="H18" s="12"/>
      <c r="I18" s="12"/>
      <c r="J18" s="12"/>
      <c r="K18" s="12"/>
      <c r="L18" s="12"/>
    </row>
    <row r="19" spans="1:12" ht="12.75">
      <c r="A19" s="12" t="s">
        <v>22</v>
      </c>
      <c r="B19" s="12">
        <v>300</v>
      </c>
      <c r="C19" s="71">
        <v>2000</v>
      </c>
      <c r="D19" s="13">
        <v>1300</v>
      </c>
      <c r="E19" s="81">
        <v>1300</v>
      </c>
      <c r="F19" s="79">
        <v>200</v>
      </c>
      <c r="G19" s="75">
        <v>500</v>
      </c>
      <c r="H19" s="12">
        <v>1500</v>
      </c>
      <c r="I19" s="12">
        <v>8000</v>
      </c>
      <c r="J19" s="12">
        <v>9000</v>
      </c>
      <c r="K19" s="12">
        <v>1000</v>
      </c>
      <c r="L19" s="46">
        <v>2000</v>
      </c>
    </row>
    <row r="20" spans="1:12" ht="12.75">
      <c r="A20" s="12"/>
      <c r="B20" s="12"/>
      <c r="C20" s="71"/>
      <c r="D20" s="12"/>
      <c r="E20" s="71"/>
      <c r="F20" s="78"/>
      <c r="G20" s="73"/>
      <c r="H20" s="12"/>
      <c r="I20" s="12"/>
      <c r="J20" s="12"/>
      <c r="K20" s="12"/>
      <c r="L20" s="12"/>
    </row>
    <row r="21" spans="1:12" ht="12.75">
      <c r="A21" s="100" t="s">
        <v>81</v>
      </c>
      <c r="B21" s="14">
        <f aca="true" t="shared" si="1" ref="B21:G21">B17*B19</f>
        <v>1080000</v>
      </c>
      <c r="C21" s="72">
        <f t="shared" si="1"/>
        <v>64000</v>
      </c>
      <c r="D21" s="15">
        <f t="shared" si="1"/>
        <v>256100</v>
      </c>
      <c r="E21" s="72">
        <f t="shared" si="1"/>
        <v>478400</v>
      </c>
      <c r="F21" s="80">
        <f t="shared" si="1"/>
        <v>73600</v>
      </c>
      <c r="G21" s="76">
        <f t="shared" si="1"/>
        <v>184000</v>
      </c>
      <c r="H21" s="15">
        <f>H17*H19</f>
        <v>24000</v>
      </c>
      <c r="I21" s="15">
        <f>I17*I19</f>
        <v>192000</v>
      </c>
      <c r="J21" s="15">
        <f>J17*J19</f>
        <v>216000</v>
      </c>
      <c r="K21" s="15">
        <f>K17*K19</f>
        <v>24000</v>
      </c>
      <c r="L21" s="15">
        <f>L17*L19</f>
        <v>576000</v>
      </c>
    </row>
    <row r="22" spans="1:12" ht="12.75">
      <c r="A22" s="12"/>
      <c r="B22" s="12"/>
      <c r="C22" s="12"/>
      <c r="D22" s="12"/>
      <c r="E22" s="12"/>
      <c r="F22" s="78"/>
      <c r="H22" s="12"/>
      <c r="I22" s="12"/>
      <c r="J22" s="12"/>
      <c r="K22" s="12"/>
      <c r="L22" s="12"/>
    </row>
    <row r="23" spans="1:5" ht="12.75">
      <c r="A23" s="12"/>
      <c r="B23" s="12"/>
      <c r="C23" s="12"/>
      <c r="D23" s="12"/>
      <c r="E23" s="12"/>
    </row>
    <row r="24" spans="1:12" ht="12.75">
      <c r="A24" s="69" t="s">
        <v>23</v>
      </c>
      <c r="B24" s="14"/>
      <c r="C24" s="41"/>
      <c r="D24" s="14">
        <f>B21</f>
        <v>1080000</v>
      </c>
      <c r="E24" s="17"/>
      <c r="F24" s="82"/>
      <c r="G24" s="83"/>
      <c r="H24" s="84"/>
      <c r="I24" s="84" t="s">
        <v>131</v>
      </c>
      <c r="J24" s="84" t="s">
        <v>132</v>
      </c>
      <c r="K24" s="83"/>
      <c r="L24" s="85"/>
    </row>
    <row r="25" spans="1:12" ht="12.75">
      <c r="A25" s="32" t="s">
        <v>25</v>
      </c>
      <c r="B25" s="40"/>
      <c r="C25" s="40"/>
      <c r="D25" s="15">
        <f>SUM(C21:L21)</f>
        <v>2088100</v>
      </c>
      <c r="E25" s="17"/>
      <c r="F25" s="86" t="s">
        <v>24</v>
      </c>
      <c r="G25" s="87"/>
      <c r="H25" s="88"/>
      <c r="I25" s="88">
        <v>1260</v>
      </c>
      <c r="J25" s="88">
        <v>89000</v>
      </c>
      <c r="K25" s="89"/>
      <c r="L25" s="90"/>
    </row>
    <row r="26" spans="1:12" ht="12.75">
      <c r="A26" s="30" t="s">
        <v>27</v>
      </c>
      <c r="B26" s="31"/>
      <c r="C26" s="19"/>
      <c r="D26" s="95">
        <f>'[1]Point 1 prix cable'!R37</f>
        <v>917472</v>
      </c>
      <c r="E26" s="17"/>
      <c r="F26" s="86" t="s">
        <v>26</v>
      </c>
      <c r="G26" s="87"/>
      <c r="H26" s="89"/>
      <c r="I26" s="88">
        <v>720</v>
      </c>
      <c r="J26" s="88">
        <v>52000</v>
      </c>
      <c r="K26" s="88" t="s">
        <v>130</v>
      </c>
      <c r="L26" s="90"/>
    </row>
    <row r="27" spans="1:12" ht="12.75">
      <c r="A27" s="25" t="s">
        <v>30</v>
      </c>
      <c r="B27" s="26"/>
      <c r="C27" s="27"/>
      <c r="D27" s="26">
        <f>SUM(J25:J29)</f>
        <v>852520</v>
      </c>
      <c r="E27" s="17"/>
      <c r="F27" s="86" t="s">
        <v>28</v>
      </c>
      <c r="G27" s="87"/>
      <c r="H27" s="88"/>
      <c r="I27" s="88">
        <v>1260</v>
      </c>
      <c r="J27" s="88">
        <f>I27*K27</f>
        <v>378000</v>
      </c>
      <c r="K27" s="88">
        <v>300</v>
      </c>
      <c r="L27" s="90" t="s">
        <v>29</v>
      </c>
    </row>
    <row r="28" spans="4:12" ht="12.75">
      <c r="D28" t="e">
        <f>'[2]'!R37</f>
        <v>#REF!</v>
      </c>
      <c r="F28" s="86" t="s">
        <v>31</v>
      </c>
      <c r="G28" s="87"/>
      <c r="H28" s="89"/>
      <c r="I28" s="88">
        <v>720</v>
      </c>
      <c r="J28" s="88">
        <f>I28*K28</f>
        <v>216000</v>
      </c>
      <c r="K28" s="88">
        <v>300</v>
      </c>
      <c r="L28" s="90" t="s">
        <v>29</v>
      </c>
    </row>
    <row r="29" spans="1:12" ht="12.75">
      <c r="A29" s="67" t="s">
        <v>81</v>
      </c>
      <c r="D29" s="46">
        <f>SUM(D24:D27)</f>
        <v>4938092</v>
      </c>
      <c r="F29" s="91" t="s">
        <v>32</v>
      </c>
      <c r="G29" s="92"/>
      <c r="H29" s="93"/>
      <c r="I29" s="93">
        <f>I32*2</f>
        <v>2260</v>
      </c>
      <c r="J29" s="93">
        <f>I29*K29</f>
        <v>117520</v>
      </c>
      <c r="K29" s="93">
        <v>52</v>
      </c>
      <c r="L29" s="94"/>
    </row>
    <row r="30" spans="1:4" ht="12.75">
      <c r="A30" s="22" t="s">
        <v>8</v>
      </c>
      <c r="B30" s="17" t="s">
        <v>125</v>
      </c>
      <c r="C30" s="17"/>
      <c r="D30" s="23">
        <v>310000</v>
      </c>
    </row>
    <row r="31" spans="4:6" ht="12.75">
      <c r="D31" s="64"/>
      <c r="F31" s="65" t="s">
        <v>137</v>
      </c>
    </row>
    <row r="32" spans="1:11" ht="15.75">
      <c r="A32" s="47" t="s">
        <v>35</v>
      </c>
      <c r="B32" s="42"/>
      <c r="C32" s="68" t="s">
        <v>129</v>
      </c>
      <c r="D32" s="39">
        <f>(D29-D30)/1000</f>
        <v>4628.092</v>
      </c>
      <c r="F32" s="33" t="s">
        <v>33</v>
      </c>
      <c r="G32" s="17"/>
      <c r="H32" s="29"/>
      <c r="I32" s="29">
        <v>1130</v>
      </c>
      <c r="J32" s="29">
        <f>I32*K32</f>
        <v>169500</v>
      </c>
      <c r="K32" s="66">
        <v>150</v>
      </c>
    </row>
    <row r="33" spans="1:11" ht="12.75">
      <c r="A33" s="17"/>
      <c r="B33" s="17"/>
      <c r="C33" s="17"/>
      <c r="D33" s="23"/>
      <c r="F33" s="33" t="s">
        <v>34</v>
      </c>
      <c r="G33" s="17"/>
      <c r="H33" s="17"/>
      <c r="I33" s="29">
        <v>1130</v>
      </c>
      <c r="J33" s="29">
        <f>I33*K33</f>
        <v>169500</v>
      </c>
      <c r="K33" s="66">
        <v>150</v>
      </c>
    </row>
    <row r="34" spans="1:5" ht="15.75">
      <c r="A34" s="36"/>
      <c r="B34" s="37"/>
      <c r="C34" s="38"/>
      <c r="D34" s="39"/>
      <c r="E34" s="17"/>
    </row>
    <row r="35" ht="12.75">
      <c r="E35" s="17"/>
    </row>
    <row r="36" spans="5:8" ht="12.75">
      <c r="E36" s="17"/>
      <c r="H36" s="23"/>
    </row>
    <row r="37" ht="12.75">
      <c r="E37" s="41"/>
    </row>
    <row r="38" ht="12.75">
      <c r="D38" s="41"/>
    </row>
  </sheetData>
  <printOptions/>
  <pageMargins left="0.75" right="0.75" top="0.8" bottom="0.5" header="0.5" footer="0.5"/>
  <pageSetup horizontalDpi="1200" verticalDpi="1200" orientation="landscape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P17" sqref="P17"/>
    </sheetView>
  </sheetViews>
  <sheetFormatPr defaultColWidth="9.140625" defaultRowHeight="12.75"/>
  <cols>
    <col min="2" max="2" width="12.8515625" style="0" customWidth="1"/>
    <col min="3" max="3" width="10.140625" style="0" customWidth="1"/>
    <col min="4" max="4" width="10.8515625" style="0" customWidth="1"/>
    <col min="5" max="5" width="10.28125" style="0" customWidth="1"/>
    <col min="6" max="6" width="11.421875" style="0" customWidth="1"/>
    <col min="8" max="8" width="10.140625" style="0" customWidth="1"/>
    <col min="9" max="9" width="9.57421875" style="0" customWidth="1"/>
    <col min="10" max="10" width="10.7109375" style="0" customWidth="1"/>
    <col min="11" max="12" width="10.00390625" style="0" customWidth="1"/>
  </cols>
  <sheetData>
    <row r="1" spans="3:12" ht="20.25">
      <c r="C1" s="1" t="s">
        <v>124</v>
      </c>
      <c r="E1" s="1"/>
      <c r="L1" s="2" t="s">
        <v>0</v>
      </c>
    </row>
    <row r="4" spans="1:8" ht="15.75">
      <c r="A4" s="3" t="s">
        <v>1</v>
      </c>
      <c r="B4" s="3"/>
      <c r="C4" s="4">
        <f>D34</f>
        <v>4950.128</v>
      </c>
      <c r="D4" s="5" t="s">
        <v>2</v>
      </c>
      <c r="E4" s="6" t="s">
        <v>3</v>
      </c>
      <c r="G4" s="3" t="s">
        <v>122</v>
      </c>
      <c r="H4" s="3"/>
    </row>
    <row r="5" spans="1:8" ht="15.75">
      <c r="A5" s="7" t="s">
        <v>4</v>
      </c>
      <c r="B5" s="7"/>
      <c r="C5" s="7">
        <v>101</v>
      </c>
      <c r="D5" s="8" t="s">
        <v>2</v>
      </c>
      <c r="E5" s="13" t="s">
        <v>2</v>
      </c>
      <c r="F5" s="39">
        <f>SUM(C4:C5)</f>
        <v>5051.128</v>
      </c>
      <c r="G5" s="13" t="s">
        <v>2</v>
      </c>
      <c r="H5" s="47">
        <v>5021</v>
      </c>
    </row>
    <row r="7" spans="1:4" ht="15.75">
      <c r="A7" s="7"/>
      <c r="B7" s="7"/>
      <c r="C7" s="7"/>
      <c r="D7" s="8"/>
    </row>
    <row r="8" spans="1:12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10" spans="1:5" ht="15.75">
      <c r="A10" s="3" t="s">
        <v>1</v>
      </c>
      <c r="C10" t="s">
        <v>5</v>
      </c>
      <c r="E10" t="s">
        <v>6</v>
      </c>
    </row>
    <row r="12" spans="1:12" ht="12.75">
      <c r="A12" s="11"/>
      <c r="B12" s="12" t="s">
        <v>7</v>
      </c>
      <c r="C12" s="12" t="s">
        <v>8</v>
      </c>
      <c r="D12" s="12" t="s">
        <v>133</v>
      </c>
      <c r="E12" s="12" t="s">
        <v>133</v>
      </c>
      <c r="F12" s="12" t="s">
        <v>9</v>
      </c>
      <c r="G12" s="12" t="s">
        <v>8</v>
      </c>
      <c r="H12" s="12" t="s">
        <v>10</v>
      </c>
      <c r="I12" s="12" t="s">
        <v>8</v>
      </c>
      <c r="J12" s="12" t="s">
        <v>11</v>
      </c>
      <c r="K12" s="12" t="s">
        <v>12</v>
      </c>
      <c r="L12" s="12" t="s">
        <v>13</v>
      </c>
    </row>
    <row r="13" spans="1:12" ht="12.75">
      <c r="A13" s="12"/>
      <c r="B13" s="12"/>
      <c r="D13" s="12"/>
      <c r="E13" s="12"/>
      <c r="F13" s="12"/>
      <c r="G13" t="s">
        <v>14</v>
      </c>
      <c r="H13" s="12"/>
      <c r="I13" s="12" t="s">
        <v>15</v>
      </c>
      <c r="J13" s="12" t="s">
        <v>16</v>
      </c>
      <c r="K13" s="12"/>
      <c r="L13" s="12" t="s">
        <v>17</v>
      </c>
    </row>
    <row r="14" spans="1:12" ht="12.75">
      <c r="A14" s="12"/>
      <c r="B14" s="12"/>
      <c r="C14" s="12"/>
      <c r="D14" s="12"/>
      <c r="E14" s="12"/>
      <c r="F14" s="12"/>
      <c r="H14" s="12"/>
      <c r="I14" s="12"/>
      <c r="J14" s="12"/>
      <c r="K14" s="12"/>
      <c r="L14" s="12"/>
    </row>
    <row r="15" spans="1:12" ht="12.75">
      <c r="A15" s="12" t="s">
        <v>18</v>
      </c>
      <c r="B15" s="12" t="s">
        <v>19</v>
      </c>
      <c r="C15" s="12">
        <v>4</v>
      </c>
      <c r="D15" s="12" t="s">
        <v>20</v>
      </c>
      <c r="E15" s="12">
        <v>46</v>
      </c>
      <c r="F15" s="12">
        <v>46</v>
      </c>
      <c r="G15" s="12">
        <v>46</v>
      </c>
      <c r="H15" s="12">
        <v>2</v>
      </c>
      <c r="I15" s="13">
        <v>3</v>
      </c>
      <c r="J15" s="13">
        <v>3</v>
      </c>
      <c r="K15" s="12">
        <v>3</v>
      </c>
      <c r="L15" s="12">
        <v>36</v>
      </c>
    </row>
    <row r="16" spans="1:12" ht="12.75">
      <c r="A16" s="12"/>
      <c r="B16" s="12"/>
      <c r="C16" s="12"/>
      <c r="D16" s="12"/>
      <c r="E16" s="12"/>
      <c r="F16" s="12"/>
      <c r="H16" s="12"/>
      <c r="I16" s="12"/>
      <c r="J16" s="12"/>
      <c r="K16" s="12"/>
      <c r="L16" s="12"/>
    </row>
    <row r="17" spans="1:12" ht="12.75">
      <c r="A17" s="11" t="s">
        <v>21</v>
      </c>
      <c r="B17" s="12">
        <v>3600</v>
      </c>
      <c r="C17" s="12">
        <v>32</v>
      </c>
      <c r="D17" s="12">
        <v>197</v>
      </c>
      <c r="E17" s="12">
        <f aca="true" t="shared" si="0" ref="E17:L17">E15*8</f>
        <v>368</v>
      </c>
      <c r="F17" s="12">
        <f t="shared" si="0"/>
        <v>368</v>
      </c>
      <c r="G17" s="12">
        <f t="shared" si="0"/>
        <v>368</v>
      </c>
      <c r="H17" s="12">
        <f t="shared" si="0"/>
        <v>16</v>
      </c>
      <c r="I17" s="12">
        <f t="shared" si="0"/>
        <v>24</v>
      </c>
      <c r="J17" s="12">
        <f t="shared" si="0"/>
        <v>24</v>
      </c>
      <c r="K17" s="12">
        <f t="shared" si="0"/>
        <v>24</v>
      </c>
      <c r="L17" s="12">
        <f t="shared" si="0"/>
        <v>288</v>
      </c>
    </row>
    <row r="18" spans="1:12" ht="12.75">
      <c r="A18" s="12"/>
      <c r="B18" s="12"/>
      <c r="C18" s="12"/>
      <c r="F18" s="12"/>
      <c r="H18" s="12"/>
      <c r="I18" s="12"/>
      <c r="J18" s="12"/>
      <c r="K18" s="12"/>
      <c r="L18" s="12"/>
    </row>
    <row r="19" spans="1:12" ht="12.75">
      <c r="A19" s="12" t="s">
        <v>22</v>
      </c>
      <c r="B19" s="12">
        <v>300</v>
      </c>
      <c r="C19" s="12">
        <v>2000</v>
      </c>
      <c r="D19" s="12">
        <v>1000</v>
      </c>
      <c r="E19" s="12">
        <v>1000</v>
      </c>
      <c r="F19" s="12">
        <v>300</v>
      </c>
      <c r="G19" s="12">
        <v>600</v>
      </c>
      <c r="H19" s="12">
        <v>1500</v>
      </c>
      <c r="I19" s="12">
        <v>8000</v>
      </c>
      <c r="J19" s="12">
        <v>9000</v>
      </c>
      <c r="K19" s="12">
        <v>1000</v>
      </c>
      <c r="L19" s="12">
        <v>1550</v>
      </c>
    </row>
    <row r="20" spans="1:12" ht="12.75">
      <c r="A20" s="12"/>
      <c r="B20" s="12"/>
      <c r="C20" s="12"/>
      <c r="D20" s="12"/>
      <c r="E20" s="12"/>
      <c r="F20" s="12"/>
      <c r="H20" s="12"/>
      <c r="I20" s="12"/>
      <c r="J20" s="12"/>
      <c r="K20" s="12"/>
      <c r="L20" s="12"/>
    </row>
    <row r="21" spans="1:12" ht="12.75">
      <c r="A21" s="12"/>
      <c r="B21" s="13">
        <f aca="true" t="shared" si="1" ref="B21:G21">B17*B19</f>
        <v>1080000</v>
      </c>
      <c r="C21" s="14">
        <f t="shared" si="1"/>
        <v>64000</v>
      </c>
      <c r="D21" s="14">
        <f t="shared" si="1"/>
        <v>197000</v>
      </c>
      <c r="E21" s="14">
        <f t="shared" si="1"/>
        <v>368000</v>
      </c>
      <c r="F21" s="14">
        <f t="shared" si="1"/>
        <v>110400</v>
      </c>
      <c r="G21" s="14">
        <f t="shared" si="1"/>
        <v>220800</v>
      </c>
      <c r="H21" s="15">
        <f>H17*H19</f>
        <v>24000</v>
      </c>
      <c r="I21" s="15">
        <f>I17*I19</f>
        <v>192000</v>
      </c>
      <c r="J21" s="15">
        <f>J17*J19</f>
        <v>216000</v>
      </c>
      <c r="K21" s="15">
        <f>K17*K19</f>
        <v>24000</v>
      </c>
      <c r="L21" s="15">
        <f>L17*L19</f>
        <v>446400</v>
      </c>
    </row>
    <row r="22" spans="1:12" ht="12.75">
      <c r="A22" s="12"/>
      <c r="B22" s="12"/>
      <c r="C22" s="12"/>
      <c r="D22" s="12"/>
      <c r="E22" s="12"/>
      <c r="F22" s="12"/>
      <c r="H22" s="12"/>
      <c r="I22" s="12"/>
      <c r="J22" s="12"/>
      <c r="K22" s="12"/>
      <c r="L22" s="12"/>
    </row>
    <row r="23" spans="1:12" ht="12.75">
      <c r="A23" s="12"/>
      <c r="B23" s="12"/>
      <c r="C23" s="12"/>
      <c r="D23" s="12"/>
      <c r="E23" s="12"/>
      <c r="F23" s="12"/>
      <c r="H23" s="12"/>
      <c r="I23" s="12"/>
      <c r="J23" s="12"/>
      <c r="L23" s="12"/>
    </row>
    <row r="24" spans="1:12" ht="12.75">
      <c r="A24" s="16" t="s">
        <v>23</v>
      </c>
      <c r="B24" s="13"/>
      <c r="C24" s="5"/>
      <c r="D24" s="13">
        <f>B21</f>
        <v>1080000</v>
      </c>
      <c r="E24" s="17"/>
      <c r="F24" s="18" t="s">
        <v>24</v>
      </c>
      <c r="G24" s="19"/>
      <c r="H24" s="20"/>
      <c r="I24" s="20">
        <v>1234</v>
      </c>
      <c r="J24" s="20">
        <v>89000</v>
      </c>
      <c r="K24" s="21"/>
      <c r="L24" s="21"/>
    </row>
    <row r="25" spans="1:12" ht="12.75">
      <c r="A25" s="22" t="s">
        <v>25</v>
      </c>
      <c r="B25" s="17"/>
      <c r="C25" s="17"/>
      <c r="D25" s="23">
        <f>SUM(C21:L21)+J29+J30</f>
        <v>2419600</v>
      </c>
      <c r="E25" s="17"/>
      <c r="F25" s="18" t="s">
        <v>26</v>
      </c>
      <c r="G25" s="19"/>
      <c r="H25" s="24"/>
      <c r="I25" s="20">
        <v>720</v>
      </c>
      <c r="J25" s="20">
        <v>52000</v>
      </c>
      <c r="K25" s="21"/>
      <c r="L25" s="21"/>
    </row>
    <row r="26" spans="1:12" ht="12.75">
      <c r="A26" s="25" t="s">
        <v>27</v>
      </c>
      <c r="B26" s="26"/>
      <c r="C26" s="27"/>
      <c r="D26" s="28">
        <f>'[1]Point 1 prix cable'!R37</f>
        <v>917472</v>
      </c>
      <c r="E26" s="17"/>
      <c r="F26" s="18" t="s">
        <v>28</v>
      </c>
      <c r="G26" s="19"/>
      <c r="H26" s="20"/>
      <c r="I26" s="20">
        <v>1234</v>
      </c>
      <c r="J26" s="20">
        <f>I26*K26</f>
        <v>370200</v>
      </c>
      <c r="K26" s="29">
        <v>300</v>
      </c>
      <c r="L26" s="21" t="s">
        <v>29</v>
      </c>
    </row>
    <row r="27" spans="1:12" ht="12.75">
      <c r="A27" s="30" t="s">
        <v>30</v>
      </c>
      <c r="B27" s="31"/>
      <c r="C27" s="19"/>
      <c r="D27" s="31">
        <f>SUM(J24:J28)</f>
        <v>843056</v>
      </c>
      <c r="E27" s="17"/>
      <c r="F27" s="18" t="s">
        <v>31</v>
      </c>
      <c r="G27" s="19"/>
      <c r="H27" s="24"/>
      <c r="I27" s="20">
        <v>720</v>
      </c>
      <c r="J27" s="20">
        <f>I27*K27</f>
        <v>216000</v>
      </c>
      <c r="K27" s="29">
        <v>300</v>
      </c>
      <c r="L27" s="21" t="s">
        <v>29</v>
      </c>
    </row>
    <row r="28" spans="1:12" ht="12.75">
      <c r="A28" s="32" t="s">
        <v>8</v>
      </c>
      <c r="D28" s="15">
        <v>-310000</v>
      </c>
      <c r="F28" s="18" t="s">
        <v>32</v>
      </c>
      <c r="G28" s="19"/>
      <c r="H28" s="20"/>
      <c r="I28" s="20">
        <f>I29*2</f>
        <v>2228</v>
      </c>
      <c r="J28" s="20">
        <f>I28*K28</f>
        <v>115856</v>
      </c>
      <c r="K28" s="29">
        <v>52</v>
      </c>
      <c r="L28" s="21"/>
    </row>
    <row r="29" spans="1:12" ht="12.75">
      <c r="A29" s="22"/>
      <c r="D29" s="12"/>
      <c r="F29" s="33" t="s">
        <v>33</v>
      </c>
      <c r="H29" s="29"/>
      <c r="I29" s="29">
        <v>1114</v>
      </c>
      <c r="J29" s="34">
        <f>I29*K29</f>
        <v>334200</v>
      </c>
      <c r="K29" s="29">
        <v>300</v>
      </c>
      <c r="L29" s="21"/>
    </row>
    <row r="30" spans="6:11" ht="12.75">
      <c r="F30" s="33" t="s">
        <v>34</v>
      </c>
      <c r="I30" s="29">
        <v>1114</v>
      </c>
      <c r="J30" s="35">
        <f>I30*K30</f>
        <v>222800</v>
      </c>
      <c r="K30" s="29">
        <v>200</v>
      </c>
    </row>
    <row r="31" spans="1:4" ht="12.75">
      <c r="A31" s="11" t="s">
        <v>35</v>
      </c>
      <c r="B31" s="23"/>
      <c r="C31" s="17"/>
      <c r="D31" s="11">
        <f>SUM(D24:D29)</f>
        <v>4950128</v>
      </c>
    </row>
    <row r="32" spans="1:6" ht="12.75">
      <c r="A32" s="17"/>
      <c r="B32" s="17"/>
      <c r="C32" s="17"/>
      <c r="D32" s="23"/>
      <c r="F32" s="33"/>
    </row>
    <row r="33" spans="1:8" ht="12.75">
      <c r="A33" s="17"/>
      <c r="B33" s="17"/>
      <c r="C33" s="17"/>
      <c r="D33" s="17"/>
      <c r="H33" s="23"/>
    </row>
    <row r="34" spans="1:8" ht="15.75">
      <c r="A34" s="36" t="s">
        <v>35</v>
      </c>
      <c r="B34" s="37"/>
      <c r="C34" s="38" t="s">
        <v>2</v>
      </c>
      <c r="D34" s="39">
        <f>SUM(D31:D32)/1000</f>
        <v>4950.128</v>
      </c>
      <c r="E34" s="17"/>
      <c r="H34" s="17"/>
    </row>
    <row r="35" spans="5:8" ht="12.75">
      <c r="E35" s="17"/>
      <c r="H35" s="17"/>
    </row>
    <row r="36" spans="1:8" ht="12.75">
      <c r="A36" s="40" t="s">
        <v>36</v>
      </c>
      <c r="B36" s="40"/>
      <c r="C36" s="40">
        <f>SUM(H21:L21)+J30+G9+D28</f>
        <v>815200</v>
      </c>
      <c r="E36" s="17"/>
      <c r="H36" s="23"/>
    </row>
    <row r="37" spans="1:5" ht="12.75">
      <c r="A37" s="41" t="s">
        <v>37</v>
      </c>
      <c r="B37" s="41"/>
      <c r="C37" s="41">
        <f>SUM(C21:G21)+J29</f>
        <v>1294400</v>
      </c>
      <c r="D37" s="41"/>
      <c r="E37" s="41"/>
    </row>
  </sheetData>
  <printOptions/>
  <pageMargins left="0.75" right="0.75" top="0.8" bottom="0.5" header="0.5" footer="0.5"/>
  <pageSetup horizontalDpi="1200" verticalDpi="1200" orientation="landscape" paperSize="9" r:id="rId1"/>
  <headerFooter alignWithMargins="0"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F4">
      <selection activeCell="H39" sqref="H39"/>
    </sheetView>
  </sheetViews>
  <sheetFormatPr defaultColWidth="9.140625" defaultRowHeight="12.75"/>
  <cols>
    <col min="1" max="1" width="18.00390625" style="12" customWidth="1"/>
    <col min="2" max="2" width="11.140625" style="12" customWidth="1"/>
    <col min="3" max="3" width="8.421875" style="12" customWidth="1"/>
    <col min="4" max="4" width="10.8515625" style="12" customWidth="1"/>
    <col min="5" max="5" width="15.57421875" style="12" customWidth="1"/>
    <col min="6" max="6" width="7.57421875" style="12" customWidth="1"/>
    <col min="7" max="7" width="6.28125" style="12" customWidth="1"/>
    <col min="8" max="8" width="7.00390625" style="12" customWidth="1"/>
    <col min="9" max="9" width="10.57421875" style="12" customWidth="1"/>
    <col min="10" max="10" width="9.421875" style="12" customWidth="1"/>
    <col min="11" max="11" width="8.8515625" style="11" customWidth="1"/>
    <col min="12" max="12" width="11.421875" style="12" customWidth="1"/>
    <col min="13" max="13" width="29.28125" style="0" customWidth="1"/>
    <col min="14" max="14" width="13.57421875" style="12" customWidth="1"/>
    <col min="15" max="15" width="15.421875" style="12" customWidth="1"/>
    <col min="16" max="16" width="13.28125" style="0" customWidth="1"/>
    <col min="17" max="17" width="12.8515625" style="0" customWidth="1"/>
    <col min="18" max="18" width="14.140625" style="64" customWidth="1"/>
    <col min="19" max="20" width="11.421875" style="0" customWidth="1"/>
  </cols>
  <sheetData>
    <row r="1" spans="2:14" ht="20.25">
      <c r="B1" s="42"/>
      <c r="D1" s="43" t="s">
        <v>38</v>
      </c>
      <c r="L1" s="12" t="s">
        <v>39</v>
      </c>
      <c r="M1" s="106">
        <v>38443</v>
      </c>
      <c r="N1" s="44" t="s">
        <v>40</v>
      </c>
    </row>
    <row r="2" ht="12.75">
      <c r="O2" s="37"/>
    </row>
    <row r="3" spans="1:18" ht="12.75">
      <c r="A3" s="11" t="s">
        <v>41</v>
      </c>
      <c r="B3" s="11" t="s">
        <v>42</v>
      </c>
      <c r="C3" s="11" t="s">
        <v>43</v>
      </c>
      <c r="D3" s="11" t="s">
        <v>42</v>
      </c>
      <c r="E3" s="11" t="s">
        <v>41</v>
      </c>
      <c r="F3" s="11" t="s">
        <v>44</v>
      </c>
      <c r="G3" s="11" t="s">
        <v>45</v>
      </c>
      <c r="H3" s="11" t="s">
        <v>46</v>
      </c>
      <c r="I3" s="11" t="s">
        <v>47</v>
      </c>
      <c r="J3" s="11" t="s">
        <v>48</v>
      </c>
      <c r="K3" s="11" t="s">
        <v>49</v>
      </c>
      <c r="M3" s="11" t="s">
        <v>50</v>
      </c>
      <c r="N3" s="11" t="s">
        <v>51</v>
      </c>
      <c r="O3" s="11" t="s">
        <v>52</v>
      </c>
      <c r="P3" s="11" t="s">
        <v>53</v>
      </c>
      <c r="Q3" s="11" t="s">
        <v>48</v>
      </c>
      <c r="R3" s="103" t="s">
        <v>54</v>
      </c>
    </row>
    <row r="4" spans="1:18" ht="12.75">
      <c r="A4" s="11"/>
      <c r="B4" s="11"/>
      <c r="C4" s="11"/>
      <c r="D4" s="11"/>
      <c r="E4" s="11"/>
      <c r="F4" s="11"/>
      <c r="G4" s="11"/>
      <c r="H4" s="11" t="s">
        <v>55</v>
      </c>
      <c r="I4" s="11" t="s">
        <v>55</v>
      </c>
      <c r="J4" s="11"/>
      <c r="M4" s="12"/>
      <c r="N4" s="12" t="s">
        <v>55</v>
      </c>
      <c r="O4" s="12" t="s">
        <v>55</v>
      </c>
      <c r="P4" s="12" t="s">
        <v>55</v>
      </c>
      <c r="Q4" s="12" t="s">
        <v>56</v>
      </c>
      <c r="R4" s="104" t="s">
        <v>56</v>
      </c>
    </row>
    <row r="5" spans="1:10" ht="12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9" ht="12.75">
      <c r="A6"/>
      <c r="B6"/>
      <c r="C6"/>
      <c r="D6"/>
      <c r="E6"/>
      <c r="F6"/>
      <c r="G6"/>
      <c r="H6"/>
      <c r="I6"/>
      <c r="J6"/>
      <c r="K6"/>
      <c r="L6"/>
      <c r="M6" s="37" t="s">
        <v>167</v>
      </c>
      <c r="N6" s="12" t="s">
        <v>172</v>
      </c>
      <c r="O6" s="12" t="s">
        <v>155</v>
      </c>
      <c r="P6" s="46">
        <v>44000</v>
      </c>
      <c r="Q6" s="12">
        <v>7.6</v>
      </c>
      <c r="R6" s="105">
        <f aca="true" t="shared" si="0" ref="R6:R13">P6*Q6</f>
        <v>334400</v>
      </c>
      <c r="S6" s="12" t="s">
        <v>63</v>
      </c>
    </row>
    <row r="7" spans="1:18" ht="12.75">
      <c r="A7" s="12" t="s">
        <v>57</v>
      </c>
      <c r="B7" s="12" t="s">
        <v>64</v>
      </c>
      <c r="C7" s="12" t="s">
        <v>65</v>
      </c>
      <c r="D7" s="12" t="s">
        <v>66</v>
      </c>
      <c r="E7" s="12" t="s">
        <v>67</v>
      </c>
      <c r="F7" s="12">
        <v>1</v>
      </c>
      <c r="H7" s="12">
        <v>2000</v>
      </c>
      <c r="I7" s="12">
        <f>F7*H7</f>
        <v>2000</v>
      </c>
      <c r="J7" s="12">
        <v>3.5</v>
      </c>
      <c r="K7" s="45">
        <f>I7*J7</f>
        <v>7000</v>
      </c>
      <c r="L7" s="12" t="s">
        <v>68</v>
      </c>
      <c r="M7" t="s">
        <v>169</v>
      </c>
      <c r="N7" s="12" t="s">
        <v>175</v>
      </c>
      <c r="O7" s="12" t="s">
        <v>170</v>
      </c>
      <c r="P7" s="46">
        <v>2000</v>
      </c>
      <c r="Q7" s="12">
        <v>8.6</v>
      </c>
      <c r="R7" s="105">
        <f t="shared" si="0"/>
        <v>17200</v>
      </c>
    </row>
    <row r="8" spans="11:19" ht="12.75">
      <c r="K8" s="45"/>
      <c r="M8" s="37" t="s">
        <v>168</v>
      </c>
      <c r="N8" s="12" t="s">
        <v>173</v>
      </c>
      <c r="O8" s="60" t="s">
        <v>156</v>
      </c>
      <c r="P8" s="46">
        <v>32000</v>
      </c>
      <c r="Q8" s="12">
        <v>3.5</v>
      </c>
      <c r="R8" s="105">
        <f t="shared" si="0"/>
        <v>112000</v>
      </c>
      <c r="S8" s="12" t="s">
        <v>68</v>
      </c>
    </row>
    <row r="9" spans="1:18" ht="12.75">
      <c r="A9"/>
      <c r="B9"/>
      <c r="C9"/>
      <c r="D9"/>
      <c r="E9"/>
      <c r="F9"/>
      <c r="G9"/>
      <c r="H9"/>
      <c r="I9"/>
      <c r="J9"/>
      <c r="K9"/>
      <c r="L9"/>
      <c r="M9" s="37" t="s">
        <v>162</v>
      </c>
      <c r="N9" s="12" t="s">
        <v>173</v>
      </c>
      <c r="O9" s="12" t="s">
        <v>143</v>
      </c>
      <c r="P9" s="46">
        <v>7000</v>
      </c>
      <c r="Q9" s="12">
        <v>3.5</v>
      </c>
      <c r="R9" s="105">
        <f t="shared" si="0"/>
        <v>24500</v>
      </c>
    </row>
    <row r="10" spans="1:18" ht="12.75">
      <c r="A10" s="12" t="s">
        <v>72</v>
      </c>
      <c r="B10" s="12" t="s">
        <v>73</v>
      </c>
      <c r="C10" s="12" t="s">
        <v>74</v>
      </c>
      <c r="D10" s="12" t="s">
        <v>73</v>
      </c>
      <c r="E10" s="12" t="s">
        <v>75</v>
      </c>
      <c r="F10" s="12">
        <v>1</v>
      </c>
      <c r="G10" s="12">
        <v>11</v>
      </c>
      <c r="I10" s="12">
        <v>1300</v>
      </c>
      <c r="J10" s="12">
        <v>8</v>
      </c>
      <c r="K10" s="45">
        <f>I10*J10</f>
        <v>10400</v>
      </c>
      <c r="L10" s="12" t="s">
        <v>63</v>
      </c>
      <c r="M10" s="37" t="s">
        <v>144</v>
      </c>
      <c r="N10" s="12" t="s">
        <v>173</v>
      </c>
      <c r="O10" s="12" t="s">
        <v>150</v>
      </c>
      <c r="P10" s="46">
        <v>5980</v>
      </c>
      <c r="Q10" s="12">
        <v>3.5</v>
      </c>
      <c r="R10" s="105">
        <f t="shared" si="0"/>
        <v>20930</v>
      </c>
    </row>
    <row r="11" spans="1:18" ht="12.75">
      <c r="A11" s="12" t="s">
        <v>77</v>
      </c>
      <c r="B11" s="12" t="s">
        <v>78</v>
      </c>
      <c r="C11" s="12" t="s">
        <v>69</v>
      </c>
      <c r="D11" s="12" t="s">
        <v>78</v>
      </c>
      <c r="E11" s="12" t="s">
        <v>79</v>
      </c>
      <c r="F11" s="12">
        <v>6</v>
      </c>
      <c r="G11" s="12">
        <v>34</v>
      </c>
      <c r="H11" s="12">
        <v>41</v>
      </c>
      <c r="I11" s="12">
        <f>G11*H11</f>
        <v>1394</v>
      </c>
      <c r="J11" s="12">
        <v>3.5</v>
      </c>
      <c r="K11" s="45">
        <f>I11*J11</f>
        <v>4879</v>
      </c>
      <c r="L11" s="12" t="s">
        <v>63</v>
      </c>
      <c r="M11" s="37" t="s">
        <v>149</v>
      </c>
      <c r="N11" s="12" t="s">
        <v>173</v>
      </c>
      <c r="O11" s="12" t="s">
        <v>148</v>
      </c>
      <c r="P11" s="46">
        <v>12600</v>
      </c>
      <c r="Q11" s="12">
        <v>3.5</v>
      </c>
      <c r="R11" s="105">
        <f t="shared" si="0"/>
        <v>44100</v>
      </c>
    </row>
    <row r="12" spans="1:19" ht="12.75">
      <c r="A12" s="12" t="s">
        <v>77</v>
      </c>
      <c r="B12" s="12" t="s">
        <v>64</v>
      </c>
      <c r="C12" s="12" t="s">
        <v>65</v>
      </c>
      <c r="D12" s="12" t="s">
        <v>64</v>
      </c>
      <c r="E12" s="12" t="s">
        <v>80</v>
      </c>
      <c r="F12" s="12">
        <v>7</v>
      </c>
      <c r="G12" s="12">
        <v>34</v>
      </c>
      <c r="H12" s="12">
        <v>30</v>
      </c>
      <c r="I12" s="12">
        <f>G12*H12</f>
        <v>1020</v>
      </c>
      <c r="J12" s="12">
        <v>3.5</v>
      </c>
      <c r="K12" s="45">
        <f>I12*J12</f>
        <v>3570</v>
      </c>
      <c r="L12" s="12" t="s">
        <v>68</v>
      </c>
      <c r="M12" s="37" t="s">
        <v>163</v>
      </c>
      <c r="N12" s="12" t="s">
        <v>174</v>
      </c>
      <c r="O12" s="60" t="s">
        <v>157</v>
      </c>
      <c r="P12" s="46">
        <v>15160</v>
      </c>
      <c r="Q12" s="12">
        <v>3.35</v>
      </c>
      <c r="R12" s="105">
        <f t="shared" si="0"/>
        <v>50786</v>
      </c>
      <c r="S12" s="12" t="s">
        <v>63</v>
      </c>
    </row>
    <row r="13" spans="13:18" ht="12.75">
      <c r="M13" s="37" t="s">
        <v>164</v>
      </c>
      <c r="N13" s="12" t="s">
        <v>174</v>
      </c>
      <c r="O13" s="60" t="s">
        <v>142</v>
      </c>
      <c r="P13" s="46">
        <v>16200</v>
      </c>
      <c r="Q13" s="12">
        <v>3.35</v>
      </c>
      <c r="R13" s="105">
        <f t="shared" si="0"/>
        <v>54270</v>
      </c>
    </row>
    <row r="14" spans="1:11" ht="15.75">
      <c r="A14" s="36" t="s">
        <v>35</v>
      </c>
      <c r="I14" s="36">
        <f>SUM(I6:I12)</f>
        <v>5714</v>
      </c>
      <c r="K14" s="39">
        <f>SUM(K7:K12)</f>
        <v>25849</v>
      </c>
    </row>
    <row r="15" spans="13:18" ht="12.75">
      <c r="M15" s="46" t="s">
        <v>81</v>
      </c>
      <c r="N15" s="46"/>
      <c r="O15" s="46"/>
      <c r="P15" s="46">
        <f>SUM(P6:P13)</f>
        <v>134940</v>
      </c>
      <c r="R15" s="105">
        <f>SUM(R6:R13)</f>
        <v>658186</v>
      </c>
    </row>
    <row r="17" spans="1:18" ht="12.75">
      <c r="A17" s="48" t="s">
        <v>42</v>
      </c>
      <c r="B17" s="49"/>
      <c r="C17" s="49"/>
      <c r="D17" s="49"/>
      <c r="E17" s="49"/>
      <c r="F17" s="48" t="s">
        <v>84</v>
      </c>
      <c r="G17" s="48" t="s">
        <v>45</v>
      </c>
      <c r="H17" s="49"/>
      <c r="I17" s="48" t="s">
        <v>82</v>
      </c>
      <c r="J17" s="48" t="s">
        <v>85</v>
      </c>
      <c r="K17" s="48" t="s">
        <v>49</v>
      </c>
      <c r="L17" s="50"/>
      <c r="M17" s="11" t="s">
        <v>42</v>
      </c>
      <c r="N17" s="11" t="s">
        <v>82</v>
      </c>
      <c r="O17" s="11" t="s">
        <v>52</v>
      </c>
      <c r="P17" s="11" t="s">
        <v>53</v>
      </c>
      <c r="Q17" s="11" t="s">
        <v>83</v>
      </c>
      <c r="R17" s="103" t="s">
        <v>54</v>
      </c>
    </row>
    <row r="18" spans="13:18" ht="12.75">
      <c r="M18" s="12"/>
      <c r="P18" s="12"/>
      <c r="Q18" s="12" t="s">
        <v>56</v>
      </c>
      <c r="R18" s="104" t="s">
        <v>56</v>
      </c>
    </row>
    <row r="19" spans="1:15" ht="12.75">
      <c r="A19" s="23" t="s">
        <v>86</v>
      </c>
      <c r="B19" s="23"/>
      <c r="C19" s="23"/>
      <c r="D19" s="23"/>
      <c r="E19" s="23"/>
      <c r="F19" s="23">
        <v>2</v>
      </c>
      <c r="G19" s="23">
        <v>1</v>
      </c>
      <c r="H19" s="23"/>
      <c r="I19" s="51">
        <f>F19*G19</f>
        <v>2</v>
      </c>
      <c r="J19" s="23">
        <v>50</v>
      </c>
      <c r="K19" s="45">
        <f>I19*J19</f>
        <v>100</v>
      </c>
      <c r="L19" s="23" t="s">
        <v>71</v>
      </c>
      <c r="O19"/>
    </row>
    <row r="20" spans="1:18" ht="12.75">
      <c r="A20" s="12" t="s">
        <v>73</v>
      </c>
      <c r="F20" s="12">
        <v>2</v>
      </c>
      <c r="G20" s="12">
        <v>11</v>
      </c>
      <c r="I20" s="51">
        <f>F20*G20</f>
        <v>22</v>
      </c>
      <c r="J20" s="12">
        <v>60</v>
      </c>
      <c r="K20" s="45">
        <f>I20*J20</f>
        <v>1320</v>
      </c>
      <c r="L20" s="12" t="s">
        <v>63</v>
      </c>
      <c r="M20" s="12" t="s">
        <v>165</v>
      </c>
      <c r="N20" s="12" t="s">
        <v>145</v>
      </c>
      <c r="O20" s="12" t="s">
        <v>151</v>
      </c>
      <c r="P20" s="46">
        <v>560</v>
      </c>
      <c r="Q20" s="46">
        <v>69</v>
      </c>
      <c r="R20" s="105">
        <f>P20*Q20</f>
        <v>38640</v>
      </c>
    </row>
    <row r="21" spans="1:18" ht="12.75">
      <c r="A21" s="12" t="s">
        <v>78</v>
      </c>
      <c r="F21" s="12">
        <v>12</v>
      </c>
      <c r="G21" s="12">
        <v>34</v>
      </c>
      <c r="I21" s="51">
        <f>F21*G21</f>
        <v>408</v>
      </c>
      <c r="J21" s="12">
        <v>21</v>
      </c>
      <c r="K21" s="45">
        <f>I21*J21</f>
        <v>8568</v>
      </c>
      <c r="L21" s="12" t="s">
        <v>63</v>
      </c>
      <c r="M21" s="12" t="s">
        <v>176</v>
      </c>
      <c r="N21" s="12" t="s">
        <v>177</v>
      </c>
      <c r="O21" s="12">
        <v>4</v>
      </c>
      <c r="P21" s="46">
        <v>4</v>
      </c>
      <c r="Q21" s="46">
        <v>110</v>
      </c>
      <c r="R21" s="105">
        <f>P21*Q21</f>
        <v>440</v>
      </c>
    </row>
    <row r="22" spans="1:18" ht="12.75">
      <c r="A22" s="12" t="s">
        <v>64</v>
      </c>
      <c r="F22" s="12">
        <v>14</v>
      </c>
      <c r="G22" s="12">
        <v>34</v>
      </c>
      <c r="I22" s="51">
        <f>F22*G22</f>
        <v>476</v>
      </c>
      <c r="J22" s="12">
        <v>30</v>
      </c>
      <c r="K22" s="45">
        <f>I22*J22</f>
        <v>14280</v>
      </c>
      <c r="L22" s="12" t="s">
        <v>68</v>
      </c>
      <c r="M22" s="12" t="s">
        <v>166</v>
      </c>
      <c r="N22" s="12" t="s">
        <v>146</v>
      </c>
      <c r="O22" s="12" t="s">
        <v>158</v>
      </c>
      <c r="P22" s="46">
        <v>3676</v>
      </c>
      <c r="Q22" s="46">
        <v>20.6</v>
      </c>
      <c r="R22" s="105">
        <f>P22*Q22</f>
        <v>75725.6</v>
      </c>
    </row>
    <row r="23" spans="13:18" ht="12.75">
      <c r="M23" s="12" t="s">
        <v>159</v>
      </c>
      <c r="N23" s="12" t="s">
        <v>147</v>
      </c>
      <c r="O23" s="12" t="s">
        <v>154</v>
      </c>
      <c r="P23" s="46">
        <v>1280</v>
      </c>
      <c r="Q23" s="46">
        <v>31.4</v>
      </c>
      <c r="R23" s="105">
        <f>P23*Q23</f>
        <v>40192</v>
      </c>
    </row>
    <row r="24" spans="1:18" ht="15.75">
      <c r="A24" s="36" t="s">
        <v>35</v>
      </c>
      <c r="I24" s="52">
        <f>SUM(I19:I22)</f>
        <v>908</v>
      </c>
      <c r="K24" s="39">
        <f>SUM(K19:K22)</f>
        <v>24268</v>
      </c>
      <c r="M24" s="12" t="s">
        <v>153</v>
      </c>
      <c r="N24" s="12" t="s">
        <v>147</v>
      </c>
      <c r="O24" s="12" t="s">
        <v>152</v>
      </c>
      <c r="P24" s="46">
        <v>7352</v>
      </c>
      <c r="Q24" s="46">
        <v>31.4</v>
      </c>
      <c r="R24" s="105">
        <f>P24*Q24</f>
        <v>230852.8</v>
      </c>
    </row>
    <row r="25" ht="12.75">
      <c r="O25"/>
    </row>
    <row r="26" spans="13:18" ht="12.75">
      <c r="M26" s="46" t="s">
        <v>81</v>
      </c>
      <c r="N26" s="46"/>
      <c r="O26" s="46"/>
      <c r="P26" s="46">
        <f>SUM(P20:P24)</f>
        <v>12872</v>
      </c>
      <c r="R26" s="105">
        <f>SUM(R20:R24)</f>
        <v>385850.4</v>
      </c>
    </row>
    <row r="28" spans="1:18" ht="12.75">
      <c r="A28" s="48" t="s">
        <v>91</v>
      </c>
      <c r="B28" s="49"/>
      <c r="C28" s="49"/>
      <c r="D28" s="49"/>
      <c r="E28" s="48" t="s">
        <v>92</v>
      </c>
      <c r="F28" s="48" t="s">
        <v>84</v>
      </c>
      <c r="G28" s="48" t="s">
        <v>45</v>
      </c>
      <c r="H28" s="49"/>
      <c r="I28" s="48" t="s">
        <v>82</v>
      </c>
      <c r="J28" s="48" t="s">
        <v>93</v>
      </c>
      <c r="K28" s="48" t="s">
        <v>49</v>
      </c>
      <c r="L28" s="49"/>
      <c r="M28" s="11" t="s">
        <v>91</v>
      </c>
      <c r="N28" s="11"/>
      <c r="O28" s="11"/>
      <c r="P28" s="11" t="s">
        <v>53</v>
      </c>
      <c r="Q28" s="11" t="s">
        <v>96</v>
      </c>
      <c r="R28" s="103" t="s">
        <v>54</v>
      </c>
    </row>
    <row r="29" spans="10:18" ht="12.75">
      <c r="J29" s="12" t="s">
        <v>94</v>
      </c>
      <c r="K29" s="13"/>
      <c r="M29" s="12"/>
      <c r="P29" s="12"/>
      <c r="Q29" s="12" t="s">
        <v>56</v>
      </c>
      <c r="R29" s="104" t="s">
        <v>56</v>
      </c>
    </row>
    <row r="30" ht="12.75">
      <c r="K30" s="13"/>
    </row>
    <row r="31" spans="1:18" ht="12.75">
      <c r="A31" s="12" t="s">
        <v>97</v>
      </c>
      <c r="D31" s="12" t="s">
        <v>98</v>
      </c>
      <c r="E31" s="12">
        <v>6.5</v>
      </c>
      <c r="F31" s="12">
        <v>1</v>
      </c>
      <c r="G31" s="12">
        <v>34</v>
      </c>
      <c r="I31" s="26">
        <f>F31*G31</f>
        <v>34</v>
      </c>
      <c r="J31" s="12">
        <v>75</v>
      </c>
      <c r="K31" s="45">
        <f>G31*J31</f>
        <v>2550</v>
      </c>
      <c r="L31" s="12" t="s">
        <v>68</v>
      </c>
      <c r="M31" s="12" t="s">
        <v>160</v>
      </c>
      <c r="O31"/>
      <c r="P31" s="46">
        <v>360</v>
      </c>
      <c r="Q31" s="46">
        <v>65</v>
      </c>
      <c r="R31" s="105">
        <f>P31*Q31</f>
        <v>23400</v>
      </c>
    </row>
    <row r="32" spans="1:18" ht="12.75">
      <c r="A32" s="12" t="s">
        <v>99</v>
      </c>
      <c r="D32" s="23" t="s">
        <v>100</v>
      </c>
      <c r="E32" s="12">
        <v>5</v>
      </c>
      <c r="F32" s="12">
        <v>8</v>
      </c>
      <c r="G32" s="12">
        <v>11</v>
      </c>
      <c r="I32" s="26">
        <f>F32*G32</f>
        <v>88</v>
      </c>
      <c r="J32" s="12">
        <v>200</v>
      </c>
      <c r="K32" s="45">
        <f>G32*J32</f>
        <v>2200</v>
      </c>
      <c r="L32" s="12" t="s">
        <v>101</v>
      </c>
      <c r="M32" s="12" t="s">
        <v>161</v>
      </c>
      <c r="O32"/>
      <c r="P32" s="46">
        <v>280</v>
      </c>
      <c r="Q32" s="46">
        <v>230</v>
      </c>
      <c r="R32" s="105">
        <f>P32*Q32</f>
        <v>64400</v>
      </c>
    </row>
    <row r="33" spans="4:18" ht="12.75">
      <c r="D33" s="12" t="s">
        <v>98</v>
      </c>
      <c r="E33" s="12">
        <v>6.5</v>
      </c>
      <c r="F33" s="12">
        <v>1</v>
      </c>
      <c r="G33" s="12">
        <v>11</v>
      </c>
      <c r="I33" s="26">
        <f>F33*G33</f>
        <v>11</v>
      </c>
      <c r="M33" s="12" t="s">
        <v>171</v>
      </c>
      <c r="O33"/>
      <c r="P33" s="46">
        <v>16</v>
      </c>
      <c r="Q33" s="46">
        <v>30</v>
      </c>
      <c r="R33" s="105">
        <f>P33*Q33</f>
        <v>480</v>
      </c>
    </row>
    <row r="34" spans="4:12" ht="12.75">
      <c r="D34" s="12" t="s">
        <v>102</v>
      </c>
      <c r="E34" s="12">
        <v>14</v>
      </c>
      <c r="F34" s="12">
        <v>1</v>
      </c>
      <c r="G34" s="12">
        <v>11</v>
      </c>
      <c r="I34" s="26">
        <f>F34*G34</f>
        <v>11</v>
      </c>
      <c r="L34" s="13"/>
    </row>
    <row r="35" spans="13:18" ht="12.75">
      <c r="M35" s="46" t="s">
        <v>81</v>
      </c>
      <c r="O35"/>
      <c r="P35" s="46"/>
      <c r="R35" s="105">
        <f>SUM(R31:R33)</f>
        <v>88280</v>
      </c>
    </row>
    <row r="36" spans="1:11" ht="15.75">
      <c r="A36" s="36" t="s">
        <v>35</v>
      </c>
      <c r="I36" s="53">
        <f>SUM(I31:I34)</f>
        <v>144</v>
      </c>
      <c r="J36" s="36"/>
      <c r="K36" s="47">
        <f>SUM(K31:K34)</f>
        <v>4750</v>
      </c>
    </row>
    <row r="37" spans="13:18" ht="18">
      <c r="M37" s="55" t="s">
        <v>53</v>
      </c>
      <c r="O37" s="55"/>
      <c r="P37" s="55"/>
      <c r="Q37" s="13" t="s">
        <v>178</v>
      </c>
      <c r="R37" s="107">
        <f>(R15+R26+R35)/1000</f>
        <v>1132.3164</v>
      </c>
    </row>
    <row r="38" spans="2:11" ht="15.75">
      <c r="B38" s="56"/>
      <c r="C38" s="56"/>
      <c r="D38" s="56"/>
      <c r="E38" s="12" t="s">
        <v>138</v>
      </c>
      <c r="G38"/>
      <c r="H38" s="46">
        <v>640</v>
      </c>
      <c r="I38" s="57"/>
      <c r="J38" s="56"/>
      <c r="K38" s="39"/>
    </row>
    <row r="39" spans="5:8" ht="12.75">
      <c r="E39" s="12" t="s">
        <v>139</v>
      </c>
      <c r="G39"/>
      <c r="H39" s="46">
        <v>280</v>
      </c>
    </row>
    <row r="40" spans="1:8" ht="12.75">
      <c r="A40" s="37"/>
      <c r="E40" s="23" t="s">
        <v>141</v>
      </c>
      <c r="G40"/>
      <c r="H40" s="46">
        <v>2240</v>
      </c>
    </row>
    <row r="41" spans="5:8" ht="12.75">
      <c r="E41" s="23" t="s">
        <v>140</v>
      </c>
      <c r="G41"/>
      <c r="H41" s="46">
        <v>280</v>
      </c>
    </row>
    <row r="42" spans="5:8" ht="12.75">
      <c r="E42"/>
      <c r="H42"/>
    </row>
    <row r="43" spans="5:8" ht="12.75">
      <c r="E43" s="46" t="s">
        <v>81</v>
      </c>
      <c r="G43"/>
      <c r="H43" s="46">
        <f>SUM(P20:P27)</f>
        <v>25744</v>
      </c>
    </row>
  </sheetData>
  <printOptions/>
  <pageMargins left="0.75" right="0.75" top="1" bottom="0.5" header="0.5" footer="0.5"/>
  <pageSetup horizontalDpi="1200" verticalDpi="1200" orientation="landscape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F1">
      <selection activeCell="R37" sqref="R37"/>
    </sheetView>
  </sheetViews>
  <sheetFormatPr defaultColWidth="9.140625" defaultRowHeight="12.75"/>
  <cols>
    <col min="1" max="1" width="18.00390625" style="12" customWidth="1"/>
    <col min="2" max="2" width="11.140625" style="12" customWidth="1"/>
    <col min="3" max="3" width="8.421875" style="12" customWidth="1"/>
    <col min="4" max="4" width="10.8515625" style="12" customWidth="1"/>
    <col min="5" max="5" width="15.57421875" style="12" customWidth="1"/>
    <col min="6" max="6" width="7.57421875" style="12" customWidth="1"/>
    <col min="7" max="7" width="6.28125" style="12" customWidth="1"/>
    <col min="8" max="8" width="7.00390625" style="12" customWidth="1"/>
    <col min="9" max="9" width="10.57421875" style="12" customWidth="1"/>
    <col min="10" max="10" width="9.421875" style="12" customWidth="1"/>
    <col min="11" max="11" width="8.8515625" style="11" customWidth="1"/>
    <col min="12" max="12" width="11.421875" style="12" customWidth="1"/>
    <col min="13" max="13" width="21.421875" style="0" customWidth="1"/>
    <col min="14" max="14" width="13.57421875" style="0" customWidth="1"/>
    <col min="15" max="15" width="15.421875" style="12" customWidth="1"/>
    <col min="16" max="16" width="13.28125" style="0" customWidth="1"/>
    <col min="17" max="17" width="12.8515625" style="0" customWidth="1"/>
    <col min="18" max="18" width="14.140625" style="0" customWidth="1"/>
    <col min="19" max="20" width="11.421875" style="0" customWidth="1"/>
  </cols>
  <sheetData>
    <row r="1" spans="2:14" ht="20.25">
      <c r="B1" s="42"/>
      <c r="D1" s="43" t="s">
        <v>38</v>
      </c>
      <c r="L1" s="12" t="s">
        <v>39</v>
      </c>
      <c r="M1" s="12" t="s">
        <v>39</v>
      </c>
      <c r="N1" s="44" t="s">
        <v>40</v>
      </c>
    </row>
    <row r="2" ht="12.75">
      <c r="O2" s="37"/>
    </row>
    <row r="3" spans="1:18" ht="12.75">
      <c r="A3" s="11" t="s">
        <v>41</v>
      </c>
      <c r="B3" s="11" t="s">
        <v>42</v>
      </c>
      <c r="C3" s="11" t="s">
        <v>43</v>
      </c>
      <c r="D3" s="11" t="s">
        <v>42</v>
      </c>
      <c r="E3" s="11" t="s">
        <v>41</v>
      </c>
      <c r="F3" s="11" t="s">
        <v>44</v>
      </c>
      <c r="G3" s="11" t="s">
        <v>45</v>
      </c>
      <c r="H3" s="11" t="s">
        <v>46</v>
      </c>
      <c r="I3" s="11" t="s">
        <v>47</v>
      </c>
      <c r="J3" s="11" t="s">
        <v>48</v>
      </c>
      <c r="K3" s="11" t="s">
        <v>49</v>
      </c>
      <c r="M3" s="11" t="s">
        <v>50</v>
      </c>
      <c r="N3" s="11" t="s">
        <v>51</v>
      </c>
      <c r="O3" s="11" t="s">
        <v>52</v>
      </c>
      <c r="P3" s="11" t="s">
        <v>53</v>
      </c>
      <c r="Q3" s="11" t="s">
        <v>48</v>
      </c>
      <c r="R3" s="11" t="s">
        <v>54</v>
      </c>
    </row>
    <row r="4" spans="1:18" ht="12.75">
      <c r="A4" s="11"/>
      <c r="B4" s="11"/>
      <c r="C4" s="11"/>
      <c r="D4" s="11"/>
      <c r="E4" s="11"/>
      <c r="F4" s="11"/>
      <c r="G4" s="11"/>
      <c r="H4" s="11" t="s">
        <v>55</v>
      </c>
      <c r="I4" s="11" t="s">
        <v>55</v>
      </c>
      <c r="J4" s="11"/>
      <c r="M4" s="12"/>
      <c r="N4" s="12" t="s">
        <v>55</v>
      </c>
      <c r="O4" s="12" t="s">
        <v>55</v>
      </c>
      <c r="P4" s="12" t="s">
        <v>55</v>
      </c>
      <c r="Q4" s="12" t="s">
        <v>56</v>
      </c>
      <c r="R4" s="12" t="s">
        <v>56</v>
      </c>
    </row>
    <row r="5" spans="1:10" ht="12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9" ht="12.75">
      <c r="A6" s="12" t="s">
        <v>57</v>
      </c>
      <c r="B6" s="12" t="s">
        <v>58</v>
      </c>
      <c r="C6" s="12" t="s">
        <v>59</v>
      </c>
      <c r="D6" s="12" t="s">
        <v>58</v>
      </c>
      <c r="E6" s="12" t="s">
        <v>60</v>
      </c>
      <c r="F6" s="12">
        <v>1</v>
      </c>
      <c r="H6" s="12">
        <v>300</v>
      </c>
      <c r="I6" s="12">
        <f>F6*H6</f>
        <v>300</v>
      </c>
      <c r="J6" s="12">
        <v>6</v>
      </c>
      <c r="K6" s="45">
        <f>I6*J6</f>
        <v>1800</v>
      </c>
      <c r="L6" s="12" t="s">
        <v>61</v>
      </c>
      <c r="M6" s="12" t="s">
        <v>62</v>
      </c>
      <c r="N6" s="12">
        <f>I10</f>
        <v>1300</v>
      </c>
      <c r="O6" s="12">
        <f>N6*2</f>
        <v>2600</v>
      </c>
      <c r="P6" s="12">
        <f>N6*16</f>
        <v>20800</v>
      </c>
      <c r="Q6" s="12">
        <v>8</v>
      </c>
      <c r="R6" s="12">
        <f>P6*Q6</f>
        <v>166400</v>
      </c>
      <c r="S6" s="12" t="s">
        <v>63</v>
      </c>
    </row>
    <row r="7" spans="1:19" ht="12.75">
      <c r="A7" s="12" t="s">
        <v>57</v>
      </c>
      <c r="B7" s="12" t="s">
        <v>64</v>
      </c>
      <c r="C7" s="12" t="s">
        <v>65</v>
      </c>
      <c r="D7" s="12" t="s">
        <v>66</v>
      </c>
      <c r="E7" s="12" t="s">
        <v>67</v>
      </c>
      <c r="F7" s="12">
        <v>1</v>
      </c>
      <c r="H7" s="12">
        <v>2000</v>
      </c>
      <c r="I7" s="12">
        <f>F7*H7</f>
        <v>2000</v>
      </c>
      <c r="J7" s="12">
        <v>3.5</v>
      </c>
      <c r="K7" s="45">
        <f>I7*J7</f>
        <v>7000</v>
      </c>
      <c r="L7" s="12" t="s">
        <v>68</v>
      </c>
      <c r="M7" s="12" t="s">
        <v>65</v>
      </c>
      <c r="N7" s="12">
        <f>SUM(I7+I12)</f>
        <v>3020</v>
      </c>
      <c r="O7" s="12">
        <f>N7*2</f>
        <v>6040</v>
      </c>
      <c r="P7" s="12">
        <f>N7*16</f>
        <v>48320</v>
      </c>
      <c r="Q7" s="12">
        <v>3.5</v>
      </c>
      <c r="R7" s="12">
        <f>P7*Q7</f>
        <v>169120</v>
      </c>
      <c r="S7" s="12" t="s">
        <v>68</v>
      </c>
    </row>
    <row r="8" spans="11:19" ht="12.75">
      <c r="K8" s="45"/>
      <c r="M8" s="12" t="s">
        <v>69</v>
      </c>
      <c r="N8" s="12">
        <f>I11</f>
        <v>1394</v>
      </c>
      <c r="O8" s="12">
        <f>N8*2</f>
        <v>2788</v>
      </c>
      <c r="P8" s="12">
        <f>N8*16</f>
        <v>22304</v>
      </c>
      <c r="Q8" s="12">
        <v>3.5</v>
      </c>
      <c r="R8" s="12">
        <f>P8*Q8</f>
        <v>78064</v>
      </c>
      <c r="S8" s="12" t="s">
        <v>63</v>
      </c>
    </row>
    <row r="9" spans="1:19" ht="12.75">
      <c r="A9"/>
      <c r="B9"/>
      <c r="C9"/>
      <c r="D9"/>
      <c r="E9"/>
      <c r="F9"/>
      <c r="G9"/>
      <c r="H9"/>
      <c r="I9"/>
      <c r="J9"/>
      <c r="K9"/>
      <c r="L9"/>
      <c r="M9" s="12" t="s">
        <v>70</v>
      </c>
      <c r="N9" s="12">
        <f>I6</f>
        <v>300</v>
      </c>
      <c r="O9" s="12">
        <f>N9*2</f>
        <v>600</v>
      </c>
      <c r="P9" s="12">
        <f>N9*12</f>
        <v>3600</v>
      </c>
      <c r="Q9" s="12">
        <v>6</v>
      </c>
      <c r="R9" s="12">
        <f>P9*Q9</f>
        <v>21600</v>
      </c>
      <c r="S9" s="12" t="s">
        <v>71</v>
      </c>
    </row>
    <row r="10" spans="1:19" ht="12.75">
      <c r="A10" s="12" t="s">
        <v>72</v>
      </c>
      <c r="B10" s="12" t="s">
        <v>73</v>
      </c>
      <c r="C10" s="12" t="s">
        <v>74</v>
      </c>
      <c r="D10" s="12" t="s">
        <v>73</v>
      </c>
      <c r="E10" s="12" t="s">
        <v>75</v>
      </c>
      <c r="F10" s="12">
        <v>1</v>
      </c>
      <c r="G10" s="12">
        <v>11</v>
      </c>
      <c r="I10" s="12">
        <v>1300</v>
      </c>
      <c r="J10" s="12">
        <v>8</v>
      </c>
      <c r="K10" s="45">
        <f>I10*J10</f>
        <v>10400</v>
      </c>
      <c r="L10" s="12" t="s">
        <v>63</v>
      </c>
      <c r="M10" s="12" t="s">
        <v>76</v>
      </c>
      <c r="P10" s="12">
        <v>3000</v>
      </c>
      <c r="Q10" s="12">
        <v>6</v>
      </c>
      <c r="R10" s="12">
        <f>P10*Q10</f>
        <v>18000</v>
      </c>
      <c r="S10" s="12" t="s">
        <v>71</v>
      </c>
    </row>
    <row r="11" spans="1:12" ht="12.75">
      <c r="A11" s="12" t="s">
        <v>77</v>
      </c>
      <c r="B11" s="12" t="s">
        <v>78</v>
      </c>
      <c r="C11" s="12" t="s">
        <v>69</v>
      </c>
      <c r="D11" s="12" t="s">
        <v>78</v>
      </c>
      <c r="E11" s="12" t="s">
        <v>79</v>
      </c>
      <c r="F11" s="12">
        <v>6</v>
      </c>
      <c r="G11" s="12">
        <v>34</v>
      </c>
      <c r="H11" s="12">
        <v>41</v>
      </c>
      <c r="I11" s="12">
        <f>G11*H11</f>
        <v>1394</v>
      </c>
      <c r="J11" s="12">
        <v>3.5</v>
      </c>
      <c r="K11" s="45">
        <f>I11*J11</f>
        <v>4879</v>
      </c>
      <c r="L11" s="12" t="s">
        <v>63</v>
      </c>
    </row>
    <row r="12" spans="1:18" ht="12.75">
      <c r="A12" s="12" t="s">
        <v>77</v>
      </c>
      <c r="B12" s="12" t="s">
        <v>64</v>
      </c>
      <c r="C12" s="12" t="s">
        <v>65</v>
      </c>
      <c r="D12" s="12" t="s">
        <v>64</v>
      </c>
      <c r="E12" s="12" t="s">
        <v>80</v>
      </c>
      <c r="F12" s="12">
        <v>7</v>
      </c>
      <c r="G12" s="12">
        <v>34</v>
      </c>
      <c r="H12" s="12">
        <v>30</v>
      </c>
      <c r="I12" s="12">
        <f>G12*H12</f>
        <v>1020</v>
      </c>
      <c r="J12" s="12">
        <v>3.5</v>
      </c>
      <c r="K12" s="45">
        <f>I12*J12</f>
        <v>3570</v>
      </c>
      <c r="L12" s="12" t="s">
        <v>68</v>
      </c>
      <c r="M12" s="46" t="s">
        <v>81</v>
      </c>
      <c r="N12" s="46">
        <f>SUM(N6:N9)</f>
        <v>6014</v>
      </c>
      <c r="O12" s="46">
        <f>SUM(O6:O9)</f>
        <v>12028</v>
      </c>
      <c r="P12" s="46">
        <f>N12*16</f>
        <v>96224</v>
      </c>
      <c r="R12" s="46">
        <f>SUM(R6:R10)</f>
        <v>453184</v>
      </c>
    </row>
    <row r="14" spans="1:18" ht="15.75">
      <c r="A14" s="36" t="s">
        <v>35</v>
      </c>
      <c r="I14" s="36">
        <f>SUM(I6:I12)</f>
        <v>6014</v>
      </c>
      <c r="K14" s="47">
        <f>SUM(K6:K12)</f>
        <v>27649</v>
      </c>
      <c r="M14" s="11" t="s">
        <v>42</v>
      </c>
      <c r="N14" s="11" t="s">
        <v>82</v>
      </c>
      <c r="O14" s="11" t="s">
        <v>52</v>
      </c>
      <c r="P14" s="11" t="s">
        <v>53</v>
      </c>
      <c r="Q14" s="11" t="s">
        <v>83</v>
      </c>
      <c r="R14" s="11" t="s">
        <v>54</v>
      </c>
    </row>
    <row r="15" spans="13:18" ht="12.75">
      <c r="M15" s="12"/>
      <c r="N15" s="12"/>
      <c r="P15" s="12"/>
      <c r="Q15" s="12" t="s">
        <v>56</v>
      </c>
      <c r="R15" s="12" t="s">
        <v>56</v>
      </c>
    </row>
    <row r="16" ht="12.75">
      <c r="O16"/>
    </row>
    <row r="17" spans="1:18" ht="12.75">
      <c r="A17" s="48" t="s">
        <v>42</v>
      </c>
      <c r="B17" s="49"/>
      <c r="C17" s="49"/>
      <c r="D17" s="49"/>
      <c r="E17" s="49"/>
      <c r="F17" s="48" t="s">
        <v>84</v>
      </c>
      <c r="G17" s="48" t="s">
        <v>45</v>
      </c>
      <c r="H17" s="49"/>
      <c r="I17" s="48" t="s">
        <v>82</v>
      </c>
      <c r="J17" s="48" t="s">
        <v>85</v>
      </c>
      <c r="K17" s="48" t="s">
        <v>49</v>
      </c>
      <c r="L17" s="50"/>
      <c r="M17" s="12" t="s">
        <v>73</v>
      </c>
      <c r="N17" s="12">
        <f>F20*G20</f>
        <v>22</v>
      </c>
      <c r="O17" s="12">
        <f aca="true" t="shared" si="0" ref="O17:O24">N17*2</f>
        <v>44</v>
      </c>
      <c r="P17" s="12">
        <f aca="true" t="shared" si="1" ref="P17:P24">N17*16</f>
        <v>352</v>
      </c>
      <c r="Q17" s="12">
        <v>60</v>
      </c>
      <c r="R17" s="12">
        <f>P17*Q17</f>
        <v>21120</v>
      </c>
    </row>
    <row r="18" spans="13:18" ht="12.75">
      <c r="M18" s="12" t="s">
        <v>78</v>
      </c>
      <c r="N18" s="12">
        <f>F21*G21</f>
        <v>408</v>
      </c>
      <c r="O18" s="12">
        <f t="shared" si="0"/>
        <v>816</v>
      </c>
      <c r="P18" s="12">
        <f t="shared" si="1"/>
        <v>6528</v>
      </c>
      <c r="Q18" s="12">
        <v>21</v>
      </c>
      <c r="R18" s="12">
        <f>P18*Q18</f>
        <v>137088</v>
      </c>
    </row>
    <row r="19" spans="1:18" ht="12.75">
      <c r="A19" s="23" t="s">
        <v>86</v>
      </c>
      <c r="B19" s="23"/>
      <c r="C19" s="23"/>
      <c r="D19" s="23"/>
      <c r="E19" s="23"/>
      <c r="F19" s="23">
        <v>2</v>
      </c>
      <c r="G19" s="23">
        <v>1</v>
      </c>
      <c r="H19" s="23"/>
      <c r="I19" s="51">
        <f>F19*G19</f>
        <v>2</v>
      </c>
      <c r="J19" s="23">
        <v>50</v>
      </c>
      <c r="K19" s="45">
        <f>I19*J19</f>
        <v>100</v>
      </c>
      <c r="L19" s="23" t="s">
        <v>71</v>
      </c>
      <c r="M19" s="12" t="s">
        <v>64</v>
      </c>
      <c r="N19" s="12">
        <f>F22*G22</f>
        <v>476</v>
      </c>
      <c r="O19" s="12">
        <f t="shared" si="0"/>
        <v>952</v>
      </c>
      <c r="P19" s="12">
        <f t="shared" si="1"/>
        <v>7616</v>
      </c>
      <c r="Q19" s="12">
        <v>30</v>
      </c>
      <c r="R19" s="12">
        <f>P19*Q19</f>
        <v>228480</v>
      </c>
    </row>
    <row r="20" spans="1:18" ht="12.75">
      <c r="A20" s="12" t="s">
        <v>73</v>
      </c>
      <c r="F20" s="12">
        <v>2</v>
      </c>
      <c r="G20" s="12">
        <v>11</v>
      </c>
      <c r="I20" s="51">
        <f>F20*G20</f>
        <v>22</v>
      </c>
      <c r="J20" s="12">
        <v>60</v>
      </c>
      <c r="K20" s="45">
        <f>I20*J20</f>
        <v>1320</v>
      </c>
      <c r="L20" s="12" t="s">
        <v>63</v>
      </c>
      <c r="M20" s="12" t="s">
        <v>86</v>
      </c>
      <c r="N20" s="12">
        <f>F19*G19</f>
        <v>2</v>
      </c>
      <c r="O20" s="12">
        <f t="shared" si="0"/>
        <v>4</v>
      </c>
      <c r="P20" s="12">
        <f t="shared" si="1"/>
        <v>32</v>
      </c>
      <c r="Q20" s="12">
        <v>50</v>
      </c>
      <c r="R20" s="12">
        <f>P20*Q20</f>
        <v>1600</v>
      </c>
    </row>
    <row r="21" spans="1:16" ht="12.75">
      <c r="A21" s="12" t="s">
        <v>78</v>
      </c>
      <c r="F21" s="12">
        <v>12</v>
      </c>
      <c r="G21" s="12">
        <v>34</v>
      </c>
      <c r="I21" s="51">
        <f>F21*G21</f>
        <v>408</v>
      </c>
      <c r="J21" s="12">
        <v>21</v>
      </c>
      <c r="K21" s="45">
        <f>I21*J21</f>
        <v>8568</v>
      </c>
      <c r="L21" s="12" t="s">
        <v>63</v>
      </c>
      <c r="M21" s="12" t="s">
        <v>87</v>
      </c>
      <c r="N21" s="12">
        <f>F31*G31</f>
        <v>34</v>
      </c>
      <c r="O21" s="12">
        <f t="shared" si="0"/>
        <v>68</v>
      </c>
      <c r="P21" s="12">
        <f t="shared" si="1"/>
        <v>544</v>
      </c>
    </row>
    <row r="22" spans="1:16" ht="12.75">
      <c r="A22" s="12" t="s">
        <v>64</v>
      </c>
      <c r="F22" s="12">
        <v>14</v>
      </c>
      <c r="G22" s="12">
        <v>34</v>
      </c>
      <c r="I22" s="51">
        <f>F22*G22</f>
        <v>476</v>
      </c>
      <c r="J22" s="12">
        <v>30</v>
      </c>
      <c r="K22" s="45">
        <f>I22*J22</f>
        <v>14280</v>
      </c>
      <c r="L22" s="12" t="s">
        <v>68</v>
      </c>
      <c r="M22" s="12" t="s">
        <v>88</v>
      </c>
      <c r="N22" s="12">
        <f>F34*G34</f>
        <v>11</v>
      </c>
      <c r="O22" s="12">
        <f t="shared" si="0"/>
        <v>22</v>
      </c>
      <c r="P22" s="12">
        <f t="shared" si="1"/>
        <v>176</v>
      </c>
    </row>
    <row r="23" spans="13:16" ht="12.75">
      <c r="M23" s="23" t="s">
        <v>89</v>
      </c>
      <c r="N23" s="12">
        <f>F32*G32</f>
        <v>88</v>
      </c>
      <c r="O23" s="12">
        <f t="shared" si="0"/>
        <v>176</v>
      </c>
      <c r="P23" s="12">
        <f t="shared" si="1"/>
        <v>1408</v>
      </c>
    </row>
    <row r="24" spans="1:16" ht="15.75">
      <c r="A24" s="36" t="s">
        <v>35</v>
      </c>
      <c r="I24" s="52">
        <f>SUM(I19:I22)</f>
        <v>908</v>
      </c>
      <c r="K24" s="39">
        <f>SUM(K19:K22)</f>
        <v>24268</v>
      </c>
      <c r="M24" s="23" t="s">
        <v>90</v>
      </c>
      <c r="N24" s="12">
        <f>F33*G33</f>
        <v>11</v>
      </c>
      <c r="O24" s="12">
        <f t="shared" si="0"/>
        <v>22</v>
      </c>
      <c r="P24" s="12">
        <f t="shared" si="1"/>
        <v>176</v>
      </c>
    </row>
    <row r="26" spans="13:18" ht="12.75">
      <c r="M26" s="46" t="s">
        <v>81</v>
      </c>
      <c r="N26" s="46">
        <f>SUM(N17:N24)</f>
        <v>1052</v>
      </c>
      <c r="O26" s="46">
        <f>SUM(O16:O24)</f>
        <v>2104</v>
      </c>
      <c r="P26" s="46">
        <f>SUM(P17:P24)</f>
        <v>16832</v>
      </c>
      <c r="R26" s="46">
        <f>SUM(R16:R24)</f>
        <v>388288</v>
      </c>
    </row>
    <row r="28" spans="1:12" ht="12.75">
      <c r="A28" s="48" t="s">
        <v>91</v>
      </c>
      <c r="B28" s="49"/>
      <c r="C28" s="49"/>
      <c r="D28" s="49"/>
      <c r="E28" s="48" t="s">
        <v>92</v>
      </c>
      <c r="F28" s="48" t="s">
        <v>84</v>
      </c>
      <c r="G28" s="48" t="s">
        <v>45</v>
      </c>
      <c r="H28" s="49"/>
      <c r="I28" s="48" t="s">
        <v>82</v>
      </c>
      <c r="J28" s="48" t="s">
        <v>93</v>
      </c>
      <c r="K28" s="48" t="s">
        <v>49</v>
      </c>
      <c r="L28" s="49"/>
    </row>
    <row r="29" spans="10:18" ht="12.75">
      <c r="J29" s="12" t="s">
        <v>94</v>
      </c>
      <c r="K29" s="13"/>
      <c r="M29" s="11" t="s">
        <v>91</v>
      </c>
      <c r="N29" s="11" t="s">
        <v>95</v>
      </c>
      <c r="O29" s="11" t="s">
        <v>52</v>
      </c>
      <c r="P29" s="11" t="s">
        <v>53</v>
      </c>
      <c r="Q29" s="11" t="s">
        <v>96</v>
      </c>
      <c r="R29" s="11" t="s">
        <v>54</v>
      </c>
    </row>
    <row r="30" spans="11:18" ht="12.75">
      <c r="K30" s="13"/>
      <c r="M30" s="12"/>
      <c r="P30" s="12"/>
      <c r="Q30" s="12" t="s">
        <v>56</v>
      </c>
      <c r="R30" s="12" t="s">
        <v>56</v>
      </c>
    </row>
    <row r="31" spans="1:12" ht="12.75">
      <c r="A31" s="12" t="s">
        <v>97</v>
      </c>
      <c r="D31" s="12" t="s">
        <v>98</v>
      </c>
      <c r="E31" s="12">
        <v>6.5</v>
      </c>
      <c r="F31" s="12">
        <v>1</v>
      </c>
      <c r="G31" s="12">
        <v>34</v>
      </c>
      <c r="I31" s="26">
        <f>F31*G31</f>
        <v>34</v>
      </c>
      <c r="J31" s="12">
        <v>75</v>
      </c>
      <c r="K31" s="45">
        <f>G31*J31</f>
        <v>2550</v>
      </c>
      <c r="L31" s="12" t="s">
        <v>68</v>
      </c>
    </row>
    <row r="32" spans="1:18" ht="12.75">
      <c r="A32" s="12" t="s">
        <v>99</v>
      </c>
      <c r="D32" s="23" t="s">
        <v>100</v>
      </c>
      <c r="E32" s="12">
        <v>5</v>
      </c>
      <c r="F32" s="12">
        <v>8</v>
      </c>
      <c r="G32" s="12">
        <v>11</v>
      </c>
      <c r="I32" s="26">
        <f>F32*G32</f>
        <v>88</v>
      </c>
      <c r="J32" s="12">
        <v>200</v>
      </c>
      <c r="K32" s="45">
        <f>G32*J32</f>
        <v>2200</v>
      </c>
      <c r="L32" s="12" t="s">
        <v>101</v>
      </c>
      <c r="M32" s="12" t="s">
        <v>97</v>
      </c>
      <c r="N32" s="12">
        <f>F31*G31</f>
        <v>34</v>
      </c>
      <c r="O32" s="12">
        <f>N32*2</f>
        <v>68</v>
      </c>
      <c r="P32" s="12">
        <f>N32*16</f>
        <v>544</v>
      </c>
      <c r="Q32" s="12">
        <v>75</v>
      </c>
      <c r="R32" s="12">
        <f>P32*Q32</f>
        <v>40800</v>
      </c>
    </row>
    <row r="33" spans="4:18" ht="12.75">
      <c r="D33" s="12" t="s">
        <v>98</v>
      </c>
      <c r="E33" s="12">
        <v>6.5</v>
      </c>
      <c r="F33" s="12">
        <v>1</v>
      </c>
      <c r="G33" s="12">
        <v>11</v>
      </c>
      <c r="I33" s="26">
        <f>F33*G33</f>
        <v>11</v>
      </c>
      <c r="M33" s="12" t="s">
        <v>99</v>
      </c>
      <c r="N33" s="12">
        <v>11</v>
      </c>
      <c r="O33" s="12">
        <f>N33*2</f>
        <v>22</v>
      </c>
      <c r="P33" s="12">
        <f>N33*16</f>
        <v>176</v>
      </c>
      <c r="Q33" s="12">
        <v>200</v>
      </c>
      <c r="R33" s="12">
        <f>P33*Q33</f>
        <v>35200</v>
      </c>
    </row>
    <row r="34" spans="4:12" ht="12.75">
      <c r="D34" s="12" t="s">
        <v>102</v>
      </c>
      <c r="E34" s="12">
        <v>14</v>
      </c>
      <c r="F34" s="12">
        <v>1</v>
      </c>
      <c r="G34" s="12">
        <v>11</v>
      </c>
      <c r="I34" s="26">
        <f>F34*G34</f>
        <v>11</v>
      </c>
      <c r="L34" s="13"/>
    </row>
    <row r="35" spans="13:18" ht="12.75">
      <c r="M35" s="46" t="s">
        <v>81</v>
      </c>
      <c r="N35" s="46">
        <f>SUM(N29:N33)</f>
        <v>45</v>
      </c>
      <c r="O35" s="46">
        <f>SUM(O29:O33)</f>
        <v>90</v>
      </c>
      <c r="P35" s="46">
        <f>SUM(P29:P33)</f>
        <v>720</v>
      </c>
      <c r="R35" s="46">
        <f>SUM(R32:R33)</f>
        <v>76000</v>
      </c>
    </row>
    <row r="36" spans="1:11" ht="15.75">
      <c r="A36" s="36" t="s">
        <v>35</v>
      </c>
      <c r="I36" s="53">
        <f>SUM(I31:I34)</f>
        <v>144</v>
      </c>
      <c r="J36" s="36"/>
      <c r="K36" s="47">
        <f>SUM(K31:K34)</f>
        <v>4750</v>
      </c>
    </row>
    <row r="37" spans="13:18" ht="18">
      <c r="M37" s="54" t="s">
        <v>53</v>
      </c>
      <c r="O37" s="55"/>
      <c r="P37" s="55"/>
      <c r="R37" s="55">
        <f>R12+R26+R35</f>
        <v>917472</v>
      </c>
    </row>
    <row r="38" spans="2:11" ht="15.75">
      <c r="B38" s="56"/>
      <c r="C38" s="56"/>
      <c r="D38" s="56"/>
      <c r="E38" s="56"/>
      <c r="F38" s="56"/>
      <c r="G38" s="56"/>
      <c r="H38" s="56"/>
      <c r="I38" s="57"/>
      <c r="J38" s="56"/>
      <c r="K38" s="39"/>
    </row>
    <row r="39" spans="13:18" ht="15.75">
      <c r="M39" s="58"/>
      <c r="R39" s="36"/>
    </row>
    <row r="40" ht="12.75">
      <c r="A40" s="37"/>
    </row>
  </sheetData>
  <printOptions/>
  <pageMargins left="0.75" right="0.75" top="1" bottom="0.5" header="0.5" footer="0.5"/>
  <pageSetup horizontalDpi="1200" verticalDpi="1200" orientation="landscape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P36" sqref="P36"/>
    </sheetView>
  </sheetViews>
  <sheetFormatPr defaultColWidth="9.140625" defaultRowHeight="12.75"/>
  <cols>
    <col min="1" max="1" width="7.57421875" style="0" customWidth="1"/>
    <col min="2" max="2" width="6.57421875" style="0" customWidth="1"/>
    <col min="4" max="4" width="5.57421875" style="0" customWidth="1"/>
    <col min="5" max="5" width="8.00390625" style="0" customWidth="1"/>
    <col min="6" max="6" width="6.28125" style="0" customWidth="1"/>
    <col min="7" max="7" width="10.140625" style="0" customWidth="1"/>
    <col min="8" max="8" width="5.140625" style="0" customWidth="1"/>
    <col min="9" max="9" width="10.00390625" style="0" customWidth="1"/>
    <col min="11" max="11" width="8.28125" style="0" customWidth="1"/>
    <col min="12" max="12" width="11.140625" style="0" customWidth="1"/>
    <col min="13" max="13" width="10.140625" style="0" customWidth="1"/>
    <col min="14" max="14" width="11.57421875" style="0" customWidth="1"/>
    <col min="15" max="15" width="9.7109375" style="0" customWidth="1"/>
    <col min="16" max="16" width="11.57421875" style="0" customWidth="1"/>
  </cols>
  <sheetData>
    <row r="1" spans="3:16" ht="18">
      <c r="C1" s="2"/>
      <c r="D1" s="2"/>
      <c r="E1" s="59" t="s">
        <v>103</v>
      </c>
      <c r="H1" s="59"/>
      <c r="P1" t="s">
        <v>104</v>
      </c>
    </row>
    <row r="2" spans="3:8" ht="18">
      <c r="C2" s="2"/>
      <c r="D2" s="2"/>
      <c r="E2" s="59"/>
      <c r="H2" s="59"/>
    </row>
    <row r="3" spans="3:8" ht="18">
      <c r="C3" s="2"/>
      <c r="D3" s="2"/>
      <c r="E3" s="59"/>
      <c r="H3" s="59"/>
    </row>
    <row r="5" spans="3:9" ht="12.75">
      <c r="C5" s="12"/>
      <c r="D5" s="12"/>
      <c r="E5" s="12"/>
      <c r="F5" s="12"/>
      <c r="G5" s="12"/>
      <c r="H5" s="12"/>
      <c r="I5" s="12"/>
    </row>
    <row r="6" spans="2:15" ht="15.75">
      <c r="B6" t="s">
        <v>105</v>
      </c>
      <c r="D6" s="12" t="s">
        <v>106</v>
      </c>
      <c r="E6" s="12" t="s">
        <v>107</v>
      </c>
      <c r="F6" s="12"/>
      <c r="G6" s="37" t="s">
        <v>43</v>
      </c>
      <c r="H6" s="12"/>
      <c r="I6" s="37" t="s">
        <v>43</v>
      </c>
      <c r="J6" s="12" t="s">
        <v>108</v>
      </c>
      <c r="K6" s="12" t="s">
        <v>109</v>
      </c>
      <c r="L6" s="12" t="s">
        <v>10</v>
      </c>
      <c r="M6" s="12" t="s">
        <v>8</v>
      </c>
      <c r="N6" s="12" t="s">
        <v>110</v>
      </c>
      <c r="O6" s="36" t="s">
        <v>111</v>
      </c>
    </row>
    <row r="7" spans="2:14" ht="12.75">
      <c r="B7" s="12" t="s">
        <v>112</v>
      </c>
      <c r="C7" s="12" t="s">
        <v>113</v>
      </c>
      <c r="D7" s="12" t="s">
        <v>55</v>
      </c>
      <c r="E7" s="12"/>
      <c r="F7" s="12" t="s">
        <v>112</v>
      </c>
      <c r="G7" s="12" t="s">
        <v>114</v>
      </c>
      <c r="H7" s="12" t="s">
        <v>112</v>
      </c>
      <c r="I7" s="12" t="s">
        <v>65</v>
      </c>
      <c r="J7" s="12"/>
      <c r="K7" s="12" t="s">
        <v>115</v>
      </c>
      <c r="L7" s="12"/>
      <c r="N7" s="12"/>
    </row>
    <row r="8" spans="4:15" ht="15.75">
      <c r="D8" s="12"/>
      <c r="E8" s="12"/>
      <c r="F8" s="12"/>
      <c r="G8" s="12" t="s">
        <v>116</v>
      </c>
      <c r="H8" s="12"/>
      <c r="I8" s="12" t="s">
        <v>117</v>
      </c>
      <c r="J8" s="12"/>
      <c r="K8" s="12"/>
      <c r="L8" s="12"/>
      <c r="M8" s="12"/>
      <c r="N8" s="12"/>
      <c r="O8" s="36"/>
    </row>
    <row r="9" spans="4:15" ht="15.75">
      <c r="D9" s="12"/>
      <c r="E9" s="12"/>
      <c r="F9" s="12"/>
      <c r="G9" s="60"/>
      <c r="H9" s="60"/>
      <c r="I9" s="60"/>
      <c r="J9" s="12"/>
      <c r="K9" s="12"/>
      <c r="L9" s="12"/>
      <c r="M9" s="12"/>
      <c r="N9" s="12"/>
      <c r="O9" s="36"/>
    </row>
    <row r="10" ht="15.75">
      <c r="O10" s="36"/>
    </row>
    <row r="11" spans="1:15" ht="15.75">
      <c r="A11" s="36" t="s">
        <v>118</v>
      </c>
      <c r="B11" s="23">
        <v>2</v>
      </c>
      <c r="C11" s="23">
        <f>B11*2000</f>
        <v>4000</v>
      </c>
      <c r="D11" s="23">
        <v>300</v>
      </c>
      <c r="E11" s="23" t="s">
        <v>119</v>
      </c>
      <c r="F11" s="23">
        <v>2</v>
      </c>
      <c r="G11" s="23">
        <f>(D11*F11*8)</f>
        <v>4800</v>
      </c>
      <c r="H11" s="23">
        <v>2</v>
      </c>
      <c r="I11" s="23">
        <f>(D11*H11*5)</f>
        <v>3000</v>
      </c>
      <c r="J11" s="23">
        <f>B11*200</f>
        <v>400</v>
      </c>
      <c r="K11" s="23">
        <v>3000</v>
      </c>
      <c r="L11" s="23">
        <v>3000</v>
      </c>
      <c r="M11" s="23">
        <v>8000</v>
      </c>
      <c r="N11" s="23">
        <v>9000</v>
      </c>
      <c r="O11" s="61">
        <f>SUM(I11:N11)+C11+G11</f>
        <v>35200</v>
      </c>
    </row>
    <row r="12" spans="2:15" ht="15">
      <c r="B12" s="17"/>
      <c r="C12" s="17"/>
      <c r="D12" s="17"/>
      <c r="E12" s="17"/>
      <c r="F12" s="23"/>
      <c r="G12" s="17"/>
      <c r="H12" s="23"/>
      <c r="I12" s="17"/>
      <c r="J12" s="17"/>
      <c r="K12" s="17"/>
      <c r="L12" s="17"/>
      <c r="M12" s="17"/>
      <c r="N12" s="17"/>
      <c r="O12" s="61"/>
    </row>
    <row r="13" spans="2:15" ht="12.75">
      <c r="B13" s="17"/>
      <c r="C13" s="17"/>
      <c r="D13" s="17"/>
      <c r="E13" s="17"/>
      <c r="F13" s="23"/>
      <c r="G13" s="17"/>
      <c r="H13" s="23"/>
      <c r="I13" s="17"/>
      <c r="J13" s="17"/>
      <c r="K13" s="17"/>
      <c r="L13" s="17"/>
      <c r="M13" s="17"/>
      <c r="N13" s="17"/>
      <c r="O13" s="62"/>
    </row>
    <row r="14" spans="1:15" ht="15.75">
      <c r="A14" s="36" t="s">
        <v>120</v>
      </c>
      <c r="B14" s="23">
        <v>8</v>
      </c>
      <c r="C14" s="23">
        <f>B14*2000</f>
        <v>16000</v>
      </c>
      <c r="D14" s="23">
        <v>200</v>
      </c>
      <c r="E14" s="23" t="s">
        <v>121</v>
      </c>
      <c r="F14" s="23">
        <v>8</v>
      </c>
      <c r="G14" s="23">
        <f>(D14*F14*8)</f>
        <v>12800</v>
      </c>
      <c r="H14" s="23">
        <v>8</v>
      </c>
      <c r="I14" s="23">
        <f>(D14*H14*5)</f>
        <v>8000</v>
      </c>
      <c r="J14" s="23">
        <f>B14*200</f>
        <v>1600</v>
      </c>
      <c r="K14" s="23">
        <v>3000</v>
      </c>
      <c r="L14" s="23">
        <v>6000</v>
      </c>
      <c r="M14" s="23">
        <v>8000</v>
      </c>
      <c r="N14" s="23">
        <v>9000</v>
      </c>
      <c r="O14" s="61">
        <f>SUM(I14:N14)+C14+G14</f>
        <v>64400</v>
      </c>
    </row>
    <row r="15" spans="6:15" ht="15.75">
      <c r="F15" s="12"/>
      <c r="H15" s="12"/>
      <c r="O15" s="63"/>
    </row>
    <row r="18" spans="1:15" ht="15.75">
      <c r="A18" s="36" t="s">
        <v>81</v>
      </c>
      <c r="B18" s="63">
        <f>SUM(B11:B15)</f>
        <v>10</v>
      </c>
      <c r="C18" s="63">
        <f>SUM(C11:C15)</f>
        <v>20000</v>
      </c>
      <c r="D18" s="64"/>
      <c r="E18" s="63"/>
      <c r="F18" s="63"/>
      <c r="G18" s="63">
        <f>SUM(G11:G15)</f>
        <v>17600</v>
      </c>
      <c r="H18" s="63"/>
      <c r="I18" s="63">
        <f aca="true" t="shared" si="0" ref="I18:O18">SUM(I11:I15)</f>
        <v>11000</v>
      </c>
      <c r="J18" s="63">
        <f t="shared" si="0"/>
        <v>2000</v>
      </c>
      <c r="K18" s="63">
        <f t="shared" si="0"/>
        <v>6000</v>
      </c>
      <c r="L18" s="63">
        <f t="shared" si="0"/>
        <v>9000</v>
      </c>
      <c r="M18" s="63">
        <f t="shared" si="0"/>
        <v>16000</v>
      </c>
      <c r="N18" s="63">
        <f t="shared" si="0"/>
        <v>18000</v>
      </c>
      <c r="O18" s="63">
        <f t="shared" si="0"/>
        <v>99600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ferioli</cp:lastModifiedBy>
  <cp:lastPrinted>2005-02-19T17:22:18Z</cp:lastPrinted>
  <dcterms:created xsi:type="dcterms:W3CDTF">2003-12-02T09:20:37Z</dcterms:created>
  <dcterms:modified xsi:type="dcterms:W3CDTF">2005-02-21T08:13:59Z</dcterms:modified>
  <cp:category/>
  <cp:version/>
  <cp:contentType/>
  <cp:contentStatus/>
</cp:coreProperties>
</file>