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1"/>
  </bookViews>
  <sheets>
    <sheet name="SEM" sheetId="1" r:id="rId1"/>
    <sheet name="parallel plate" sheetId="2" r:id="rId2"/>
    <sheet name="coax" sheetId="3" r:id="rId3"/>
    <sheet name="material prices" sheetId="4" r:id="rId4"/>
    <sheet name="Cost (4)" sheetId="5" r:id="rId5"/>
  </sheets>
  <definedNames>
    <definedName name="_xlnm.Print_Area" localSheetId="2">'coax'!$A$5:$G$48</definedName>
    <definedName name="_xlnm.Print_Area" localSheetId="1">'parallel plate'!$A$1:$H$67</definedName>
  </definedNames>
  <calcPr fullCalcOnLoad="1"/>
</workbook>
</file>

<file path=xl/comments5.xml><?xml version="1.0" encoding="utf-8"?>
<comments xmlns="http://schemas.openxmlformats.org/spreadsheetml/2006/main">
  <authors>
    <author>eholzer</author>
  </authors>
  <commentList>
    <comment ref="C41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C42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E43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8.2 m2
</t>
        </r>
      </text>
    </comment>
    <comment ref="C51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
71.05 CHF/kg
0.38 kg/m2
maybe cheaper for higher quantity</t>
        </r>
      </text>
    </comment>
    <comment ref="C34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store, already cut to right length.</t>
        </r>
      </text>
    </comment>
    <comment ref="E51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diameter*pi*length parallel plate chamber
</t>
        </r>
      </text>
    </comment>
    <comment ref="C35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39.36.05.380.9</t>
        </r>
      </text>
    </comment>
    <comment ref="C36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0.07kg/m 
10 CHF/kg ??
-&gt; .7 CHF/m</t>
        </r>
      </text>
    </comment>
    <comment ref="C27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44.59.32.030.4</t>
        </r>
      </text>
    </comment>
    <comment ref="C28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3.42 kg/m
10 CHF/kg
34.2 CHF/m</t>
        </r>
      </text>
    </comment>
    <comment ref="C2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39.36.05.640.8</t>
        </r>
      </text>
    </comment>
    <comment ref="C30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0.93 kg/m
10CHF/kg
9.3 CHF/m</t>
        </r>
      </text>
    </comment>
    <comment ref="C31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39.36.05.405.7</t>
        </r>
      </text>
    </comment>
    <comment ref="C32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0.23 kg/m
10 CHF/kg
2.3 CHF/m</t>
        </r>
      </text>
    </comment>
  </commentList>
</comments>
</file>

<file path=xl/sharedStrings.xml><?xml version="1.0" encoding="utf-8"?>
<sst xmlns="http://schemas.openxmlformats.org/spreadsheetml/2006/main" count="1023" uniqueCount="343">
  <si>
    <t>pieces</t>
  </si>
  <si>
    <t>CERN cost of 1 hour work [CHF]:</t>
  </si>
  <si>
    <t>material</t>
  </si>
  <si>
    <t>cleaning</t>
  </si>
  <si>
    <t>transport</t>
  </si>
  <si>
    <t>packing</t>
  </si>
  <si>
    <t>shipping</t>
  </si>
  <si>
    <t>insurance</t>
  </si>
  <si>
    <t>computer</t>
  </si>
  <si>
    <t>acquisition system</t>
  </si>
  <si>
    <t>source holder</t>
  </si>
  <si>
    <t>test equippment (3 stands)</t>
  </si>
  <si>
    <t>vacuum system for cleaning/filling</t>
  </si>
  <si>
    <t>tubes</t>
  </si>
  <si>
    <t>valves</t>
  </si>
  <si>
    <t>filters</t>
  </si>
  <si>
    <t>gauges</t>
  </si>
  <si>
    <t>gas</t>
  </si>
  <si>
    <t>ceramics</t>
  </si>
  <si>
    <t>feed through</t>
  </si>
  <si>
    <t>support</t>
  </si>
  <si>
    <t>for arc cryostats</t>
  </si>
  <si>
    <t>for collimation region</t>
  </si>
  <si>
    <t>labour</t>
  </si>
  <si>
    <t>material for chambers</t>
  </si>
  <si>
    <t>stamp (1 or 2)</t>
  </si>
  <si>
    <t>assembly</t>
  </si>
  <si>
    <t>manufacturing of chambers</t>
  </si>
  <si>
    <t>journeys</t>
  </si>
  <si>
    <t>IHEP &gt; CERN</t>
  </si>
  <si>
    <t>CERN &gt; IHEP</t>
  </si>
  <si>
    <t>designer</t>
  </si>
  <si>
    <t>BD</t>
  </si>
  <si>
    <t>EBH - MT then Miguel Jimenez</t>
  </si>
  <si>
    <t>GF</t>
  </si>
  <si>
    <t>and built by GFoffano</t>
  </si>
  <si>
    <t>EBH - GFoffano</t>
  </si>
  <si>
    <t>chamber test</t>
  </si>
  <si>
    <t>regular test of cleaning procedure</t>
  </si>
  <si>
    <t>glow discharge</t>
  </si>
  <si>
    <t>GF - GFoffano</t>
  </si>
  <si>
    <t>labour/material</t>
  </si>
  <si>
    <t>labour/cost</t>
  </si>
  <si>
    <t>prototype chambers</t>
  </si>
  <si>
    <t>"mechanics" contract</t>
  </si>
  <si>
    <t>"vacuum" contract</t>
  </si>
  <si>
    <t>CHF</t>
  </si>
  <si>
    <t>CINEL</t>
  </si>
  <si>
    <t>feedthrough</t>
  </si>
  <si>
    <t>ressorts ferroflex</t>
  </si>
  <si>
    <t>MEILI</t>
  </si>
  <si>
    <t>FERROFLEX</t>
  </si>
  <si>
    <t>EUR</t>
  </si>
  <si>
    <t>electrode spacers</t>
  </si>
  <si>
    <t>LHCBLM__0007 type A</t>
  </si>
  <si>
    <t>LHCBLM__0007 type C</t>
  </si>
  <si>
    <t>electrical connection</t>
  </si>
  <si>
    <t>LHCBLM__0013</t>
  </si>
  <si>
    <t>rods with threaded ends</t>
  </si>
  <si>
    <t>from LHCBLM__0016 variant 1</t>
  </si>
  <si>
    <t>cut electrodes/erosion a fil</t>
  </si>
  <si>
    <t>NGL</t>
  </si>
  <si>
    <t>cleaning liquid</t>
  </si>
  <si>
    <t>PAGNOD</t>
  </si>
  <si>
    <t>VACOTEC</t>
  </si>
  <si>
    <t>CERN: free until further notice</t>
  </si>
  <si>
    <t>pumping/leak test/baking</t>
  </si>
  <si>
    <t>24h (10 ch?)</t>
  </si>
  <si>
    <t>5h/batch (10 ch?) 2 operators</t>
  </si>
  <si>
    <t>filling/closing</t>
  </si>
  <si>
    <t>1h</t>
  </si>
  <si>
    <t>4h? (10 ch?)</t>
  </si>
  <si>
    <t>Ferdinand Hahn</t>
  </si>
  <si>
    <t>test</t>
  </si>
  <si>
    <t>liters</t>
  </si>
  <si>
    <t>In the budget (Apr 04)</t>
  </si>
  <si>
    <t>hour</t>
  </si>
  <si>
    <t>à</t>
  </si>
  <si>
    <t>Comment</t>
  </si>
  <si>
    <t>Pieces</t>
  </si>
  <si>
    <t>Unit</t>
  </si>
  <si>
    <t>Price/pce</t>
  </si>
  <si>
    <t>Total</t>
  </si>
  <si>
    <t>Pce/ch</t>
  </si>
  <si>
    <t>EURCHF</t>
  </si>
  <si>
    <t>Item</t>
  </si>
  <si>
    <t>parallel plate 4000 pce</t>
  </si>
  <si>
    <t>parallel plate 700 pce</t>
  </si>
  <si>
    <t>coax 2 el. 3500 pce</t>
  </si>
  <si>
    <t>coax 3 el. 3500 pce</t>
  </si>
  <si>
    <t>ch</t>
  </si>
  <si>
    <t>ECLIDE (F)</t>
  </si>
  <si>
    <t>MAGISTER (F)</t>
  </si>
  <si>
    <t>LA PRECISION (F)</t>
  </si>
  <si>
    <t>PANOD</t>
  </si>
  <si>
    <t>pce</t>
  </si>
  <si>
    <t>MECASOFT</t>
  </si>
  <si>
    <t>cut electrodes/laser</t>
  </si>
  <si>
    <t>cut electrode/stamp (good)</t>
  </si>
  <si>
    <t>DUTREIVE</t>
  </si>
  <si>
    <t>300 ch: 0.23 EUR/pce</t>
  </si>
  <si>
    <t>ch ??</t>
  </si>
  <si>
    <t>SEM 300 pce (4200 parallel plate)</t>
  </si>
  <si>
    <t>SEM 300 pce (700 parallel plate)</t>
  </si>
  <si>
    <t>no tool</t>
  </si>
  <si>
    <t>tool incl. (1350 EUR)</t>
  </si>
  <si>
    <t>tool incl. (5450 EUR)</t>
  </si>
  <si>
    <t>D15/10, L=25mm</t>
  </si>
  <si>
    <t>ceramics tubes (Cern store)</t>
  </si>
  <si>
    <t>Ti</t>
  </si>
  <si>
    <t>Al - Anticorodal 110</t>
  </si>
  <si>
    <t>CERN store</t>
  </si>
  <si>
    <t>m2</t>
  </si>
  <si>
    <t>reduced price ??</t>
  </si>
  <si>
    <t>Goodfellow/ADVENT</t>
  </si>
  <si>
    <t>ceramics for parallel plate, SEM</t>
  </si>
  <si>
    <t>ceramics for coax</t>
  </si>
  <si>
    <t>CERN store 3.5 CHF/m</t>
  </si>
  <si>
    <t>pinch off cupper tubes</t>
  </si>
  <si>
    <t>cm</t>
  </si>
  <si>
    <t>tool</t>
  </si>
  <si>
    <t>tools</t>
  </si>
  <si>
    <t>pinch off tool</t>
  </si>
  <si>
    <t>not much</t>
  </si>
  <si>
    <t>44.88.75.020.9, 0.2mm</t>
  </si>
  <si>
    <t>w.o. tool</t>
  </si>
  <si>
    <t>arc chamber support, Al</t>
  </si>
  <si>
    <t>including material??</t>
  </si>
  <si>
    <t>cable for arc support</t>
  </si>
  <si>
    <t>6-8.7 CHF ?</t>
  </si>
  <si>
    <t>insulating foil, glas fabric w epoxy</t>
  </si>
  <si>
    <t>MULTIPLE ELECTRODE BLM</t>
  </si>
  <si>
    <t>Nom du client:              G.Ferioli</t>
  </si>
  <si>
    <t xml:space="preserve">                  </t>
  </si>
  <si>
    <t>Date:                            9/7/2004</t>
  </si>
  <si>
    <t xml:space="preserve">Materiel </t>
  </si>
  <si>
    <t>QTY</t>
  </si>
  <si>
    <t>SCEM</t>
  </si>
  <si>
    <t>Remarques</t>
  </si>
  <si>
    <t>Prix (CH) PC</t>
  </si>
  <si>
    <t>Prix par unite</t>
  </si>
  <si>
    <t>39.39.05.088.2</t>
  </si>
  <si>
    <t>Multiple electrode (0001)</t>
  </si>
  <si>
    <t xml:space="preserve">round tube 304 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</si>
  <si>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500mm</t>
    </r>
  </si>
  <si>
    <t>47.62.87.145.0</t>
  </si>
  <si>
    <t>vis st 6 pc chan inox M3 *4</t>
  </si>
  <si>
    <t>47.62.39.306.8</t>
  </si>
  <si>
    <t>vis cyl inox A4 316 M3 *6</t>
  </si>
  <si>
    <t>19.63.30.128.9</t>
  </si>
  <si>
    <t xml:space="preserve">alumina tube </t>
  </si>
  <si>
    <t>f 15/10</t>
  </si>
  <si>
    <t>N.S</t>
  </si>
  <si>
    <t>Compressing spring 1.4310 ferroflex</t>
  </si>
  <si>
    <t xml:space="preserve">spring washer  f 8 4.2-0.3 </t>
  </si>
  <si>
    <t>47.43.77.040.1</t>
  </si>
  <si>
    <t>hex nuts inox Al 316 0.8 M4</t>
  </si>
  <si>
    <t>44.57.10.404.4</t>
  </si>
  <si>
    <t>Tighteners (0016)</t>
  </si>
  <si>
    <t>inox ronds 304 M4</t>
  </si>
  <si>
    <t>L = 404mm,  f =8mm</t>
  </si>
  <si>
    <t>washer (welded)</t>
  </si>
  <si>
    <t>44.57.10.408.0</t>
  </si>
  <si>
    <t>Electrical connection (0013)</t>
  </si>
  <si>
    <t>L = 20mm, f = 8 mm</t>
  </si>
  <si>
    <t>39.36.05.430.6</t>
  </si>
  <si>
    <t>Bottom cover (0006)</t>
  </si>
  <si>
    <t>tube inox 316 d12 *10</t>
  </si>
  <si>
    <t>L =24mm,  f = 10</t>
  </si>
  <si>
    <t>44.59.32.040.2</t>
  </si>
  <si>
    <t xml:space="preserve">sheet stain. Steel 304 L </t>
  </si>
  <si>
    <t>f = 89 mm, Thick 4mm, 1dm2</t>
  </si>
  <si>
    <t>39.36.05.380.9</t>
  </si>
  <si>
    <t>Electrode spacer (0007)</t>
  </si>
  <si>
    <t xml:space="preserve">tube inox 316 *5 </t>
  </si>
  <si>
    <t>L =5.75mm  f = 6mm</t>
  </si>
  <si>
    <t>L =12mm  f = 6mm, (</t>
  </si>
  <si>
    <t>44.02.30.005.0</t>
  </si>
  <si>
    <t>Electrode  (0004)</t>
  </si>
  <si>
    <t xml:space="preserve">tole ALSI 1 MG </t>
  </si>
  <si>
    <t>Alumina insulator (0005)</t>
  </si>
  <si>
    <t>AL2O3</t>
  </si>
  <si>
    <t>Cover assembly (0002)</t>
  </si>
  <si>
    <t>Pinch-off</t>
  </si>
  <si>
    <t>Feedthrough ceramseal</t>
  </si>
  <si>
    <t>Welded spacer (0035)</t>
  </si>
  <si>
    <t xml:space="preserve">inox ronds 304L </t>
  </si>
  <si>
    <t>L = 10 mm, f = 8mm</t>
  </si>
  <si>
    <t>39.36.05.490.4</t>
  </si>
  <si>
    <t>Protection tube for cover (0010)</t>
  </si>
  <si>
    <t>L = 23 mm,  f = 18mm</t>
  </si>
  <si>
    <t>44.57.10.418.8</t>
  </si>
  <si>
    <t>Cover spacer (0008)</t>
  </si>
  <si>
    <t>L = 46 mm,  f = 18mm</t>
  </si>
  <si>
    <t>44.59.40.060.1</t>
  </si>
  <si>
    <t>Cover  (0003)</t>
  </si>
  <si>
    <t>tole inox 316l</t>
  </si>
  <si>
    <t>f = 86mm,  thick 6 mm, 1dm2</t>
  </si>
  <si>
    <t>47.62.96.101.1</t>
  </si>
  <si>
    <t>Electrical connectors assembly(0036)</t>
  </si>
  <si>
    <t>inox head hex point scr M3*5</t>
  </si>
  <si>
    <t>47.78.09.004.1</t>
  </si>
  <si>
    <t>rondelle contact M4</t>
  </si>
  <si>
    <t>hex nuts inox A4 316 M4</t>
  </si>
  <si>
    <t>39.64.05.036.3</t>
  </si>
  <si>
    <t xml:space="preserve">Rond tube AlMgSi hard </t>
  </si>
  <si>
    <t>12*15</t>
  </si>
  <si>
    <t>47.38.77.040.8</t>
  </si>
  <si>
    <t>thread rods A4 316 M4</t>
  </si>
  <si>
    <t>L = 90 mm</t>
  </si>
  <si>
    <t>39.64.05.012.1</t>
  </si>
  <si>
    <t>tube AlMgSi hard 4*7</t>
  </si>
  <si>
    <t>L = 61 mm</t>
  </si>
  <si>
    <t>09.41.25.160.9</t>
  </si>
  <si>
    <t>BNC HT Polypenco SHV 5KV</t>
  </si>
  <si>
    <t>09.46.11.360.4</t>
  </si>
  <si>
    <t>BNC 50ohm, teflon</t>
  </si>
  <si>
    <t>09.46.11.520.6</t>
  </si>
  <si>
    <t>Cosse à souder BNC 50 ohm</t>
  </si>
  <si>
    <t>04.01.61.680.4</t>
  </si>
  <si>
    <t>Fils cablage souple</t>
  </si>
  <si>
    <r>
      <t>L= 100mm, 0,5mm</t>
    </r>
    <r>
      <rPr>
        <vertAlign val="superscript"/>
        <sz val="9"/>
        <rFont val="Arial"/>
        <family val="2"/>
      </rPr>
      <t>2</t>
    </r>
  </si>
  <si>
    <t>Resistance</t>
  </si>
  <si>
    <r>
      <t>10M</t>
    </r>
    <r>
      <rPr>
        <sz val="10"/>
        <rFont val="Symbol"/>
        <family val="1"/>
      </rPr>
      <t>W ,</t>
    </r>
    <r>
      <rPr>
        <sz val="10"/>
        <rFont val="Arial"/>
        <family val="2"/>
      </rPr>
      <t>1W</t>
    </r>
  </si>
  <si>
    <t>Condensateur</t>
  </si>
  <si>
    <t>0.47uF, 2000V</t>
  </si>
  <si>
    <t>39.36.05.505.4</t>
  </si>
  <si>
    <t>Electrical connection feethrough( 0039)</t>
  </si>
  <si>
    <t xml:space="preserve">tube inox 316 </t>
  </si>
  <si>
    <t>f = 20 mm, L 45mm</t>
  </si>
  <si>
    <t>Electrical connection Ext. tube( 0038)</t>
  </si>
  <si>
    <t>rond tube 304 L</t>
  </si>
  <si>
    <t>F = 88.9 mm, L 83mm, thick 2mm</t>
  </si>
  <si>
    <t>44.02.07.090.4</t>
  </si>
  <si>
    <t>Electrical connection Ext. plate( 0037)</t>
  </si>
  <si>
    <t>rond AlSiMgMn T.REV.Hard</t>
  </si>
  <si>
    <t>F = 84mm, thick= 6mm</t>
  </si>
  <si>
    <t>Mechanics</t>
  </si>
  <si>
    <t>"</t>
  </si>
  <si>
    <t>L = 20 f = 8 mm</t>
  </si>
  <si>
    <t>L =24mm  f = 10</t>
  </si>
  <si>
    <t>f = 89 Thick 4mm</t>
  </si>
  <si>
    <t>f = 75 mm thick =0.5mm</t>
  </si>
  <si>
    <t>f = 86mm,  thick 6 mm</t>
  </si>
  <si>
    <t>Elecrtical connectors assembly(0036)</t>
  </si>
  <si>
    <t>Assembling</t>
  </si>
  <si>
    <t>time   60 minutes</t>
  </si>
  <si>
    <t>Cleaning</t>
  </si>
  <si>
    <t>time  20</t>
  </si>
  <si>
    <t>Welding Pinch_off, feedthr. Tube</t>
  </si>
  <si>
    <t>time  30</t>
  </si>
  <si>
    <t xml:space="preserve">Cabling: connectors, R, C, </t>
  </si>
  <si>
    <t>time  15</t>
  </si>
  <si>
    <t>Vacuum, leak, heat, nitogen, pinch off</t>
  </si>
  <si>
    <t xml:space="preserve">Test </t>
  </si>
  <si>
    <t>Expedition + Insurance</t>
  </si>
  <si>
    <t>Total main d'oeuvre</t>
  </si>
  <si>
    <t>Total materiel + main d'oeuvre</t>
  </si>
  <si>
    <t>inox tubes for spacers</t>
  </si>
  <si>
    <t>inox tubes for spacers, 19CHF/m</t>
  </si>
  <si>
    <t>m</t>
  </si>
  <si>
    <t>Total electrical connectors assembly</t>
  </si>
  <si>
    <t>Total misc material</t>
  </si>
  <si>
    <t>SEM</t>
  </si>
  <si>
    <t>39.38.05.088.2</t>
  </si>
  <si>
    <t>SEM (0009)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</si>
  <si>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120mm</t>
    </r>
  </si>
  <si>
    <t>L = 40mm,  f =8mm</t>
  </si>
  <si>
    <t>f = 89 mm, Thick 4mm</t>
  </si>
  <si>
    <t>L = 18.25mm  f = 6mm</t>
  </si>
  <si>
    <t xml:space="preserve">tole ALSI 1 MG,  1 titanium </t>
  </si>
  <si>
    <r>
      <t>f = 75 mm thick =0.5mm, 1.3dm</t>
    </r>
    <r>
      <rPr>
        <vertAlign val="superscript"/>
        <sz val="10"/>
        <color indexed="10"/>
        <rFont val="Arial"/>
        <family val="2"/>
      </rPr>
      <t>2</t>
    </r>
  </si>
  <si>
    <t>Total materiel</t>
  </si>
  <si>
    <t>L = 40  f =8mm</t>
  </si>
  <si>
    <t>L =18.25mm  f = 6mm</t>
  </si>
  <si>
    <t>time   30 minutes</t>
  </si>
  <si>
    <t>Total Electrical connectors assembly</t>
  </si>
  <si>
    <t>misc components parallel plate</t>
  </si>
  <si>
    <t>misc components SEM</t>
  </si>
  <si>
    <t>sheet SEM</t>
  </si>
  <si>
    <t>sheet parallel plate</t>
  </si>
  <si>
    <t>HT EUR</t>
  </si>
  <si>
    <t>machining for chambers (parallel plate and SEM)</t>
  </si>
  <si>
    <t>COAXIAL 3 ELECTRODE BLM 1 m</t>
  </si>
  <si>
    <t>Coaxial electrode (0020)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</si>
  <si>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1000mm</t>
    </r>
  </si>
  <si>
    <t>47.62.39.410.9</t>
  </si>
  <si>
    <t>vis st 6 pc chan inox M4 *10</t>
  </si>
  <si>
    <t>vis cyl inox A4 316 M3 *4</t>
  </si>
  <si>
    <t>f 15/10 L= 25</t>
  </si>
  <si>
    <t>inox ronds 304 M4 type B</t>
  </si>
  <si>
    <t>tube inox 316 d12 *10 type C</t>
  </si>
  <si>
    <t>L =34mm,  f = 10</t>
  </si>
  <si>
    <t>Alumina insulator (0018)</t>
  </si>
  <si>
    <t>AL2O3 type A</t>
  </si>
  <si>
    <t>Alumina insulator (0019)</t>
  </si>
  <si>
    <t>Cover assembly (0025)</t>
  </si>
  <si>
    <t>inox ronds 304L  Type A</t>
  </si>
  <si>
    <t>Cover  (0023)</t>
  </si>
  <si>
    <t>44.59.32.030.4</t>
  </si>
  <si>
    <t>External electrode (0030)</t>
  </si>
  <si>
    <t xml:space="preserve">sheet stainl.Steel 304 L </t>
  </si>
  <si>
    <t>tube f 70/66 thick 3mm  L=883 mm</t>
  </si>
  <si>
    <t>39.36.05.640.8</t>
  </si>
  <si>
    <t>Middle electrode (0031)</t>
  </si>
  <si>
    <t>tube inox 316l f</t>
  </si>
  <si>
    <t>f 30/36, L =883 mm</t>
  </si>
  <si>
    <t>Hex nuts inox A4 316  M4</t>
  </si>
  <si>
    <t>39.36.05.405.7</t>
  </si>
  <si>
    <t>Central electrode (0032)</t>
  </si>
  <si>
    <t>tube inox 316L</t>
  </si>
  <si>
    <t>d 10*8</t>
  </si>
  <si>
    <t>44.57.10.410.6</t>
  </si>
  <si>
    <t xml:space="preserve">Rnds inox 304 L </t>
  </si>
  <si>
    <t>f = 10 mm, L = 6</t>
  </si>
  <si>
    <t>COAXIAL 3 ELECTRODE BLM 1m</t>
  </si>
  <si>
    <t>f = 10 mm, L = 885</t>
  </si>
  <si>
    <t>el. Box incl. components (sheet SEM)</t>
  </si>
  <si>
    <t>electrodes for coax chambers</t>
  </si>
  <si>
    <t>External electrode</t>
  </si>
  <si>
    <t>Central electrode</t>
  </si>
  <si>
    <t>Middle electrode</t>
  </si>
  <si>
    <t>misc components coax</t>
  </si>
  <si>
    <t>sheet coax</t>
  </si>
  <si>
    <t>Total CERN store prices</t>
  </si>
  <si>
    <t>inox</t>
  </si>
  <si>
    <t>304 L</t>
  </si>
  <si>
    <t>unit</t>
  </si>
  <si>
    <t>price</t>
  </si>
  <si>
    <t>1 kg</t>
  </si>
  <si>
    <t>316 L</t>
  </si>
  <si>
    <t>316 LN</t>
  </si>
  <si>
    <t xml:space="preserve"> 7 - 10 - 40</t>
  </si>
  <si>
    <t>gas gasket (?)</t>
  </si>
  <si>
    <t>??</t>
  </si>
  <si>
    <t>AL2O3 SCT</t>
  </si>
  <si>
    <t>OK</t>
  </si>
  <si>
    <r>
      <t>f = 75 mm thick =0.5mm, 1dm</t>
    </r>
    <r>
      <rPr>
        <vertAlign val="superscript"/>
        <sz val="10"/>
        <rFont val="Arial"/>
        <family val="2"/>
      </rPr>
      <t>2</t>
    </r>
  </si>
  <si>
    <t>checked BD 080606</t>
  </si>
  <si>
    <t>head production</t>
  </si>
  <si>
    <t>shrink tube</t>
  </si>
  <si>
    <t>tools IHEP</t>
  </si>
  <si>
    <t>vacuum stand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</si>
</sst>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vertAlign val="superscript"/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2" fontId="0" fillId="0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left"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right"/>
    </xf>
    <xf numFmtId="4" fontId="0" fillId="3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1" fontId="0" fillId="2" borderId="4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left"/>
    </xf>
    <xf numFmtId="4" fontId="0" fillId="4" borderId="3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4" xfId="0" applyFill="1" applyBorder="1" applyAlignment="1">
      <alignment/>
    </xf>
    <xf numFmtId="2" fontId="0" fillId="4" borderId="3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4" fillId="3" borderId="2" xfId="0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1" fontId="0" fillId="4" borderId="11" xfId="0" applyNumberFormat="1" applyFill="1" applyBorder="1" applyAlignment="1">
      <alignment/>
    </xf>
    <xf numFmtId="4" fontId="0" fillId="4" borderId="12" xfId="0" applyNumberFormat="1" applyFill="1" applyBorder="1" applyAlignment="1">
      <alignment/>
    </xf>
    <xf numFmtId="0" fontId="0" fillId="4" borderId="12" xfId="0" applyFill="1" applyBorder="1" applyAlignment="1">
      <alignment/>
    </xf>
    <xf numFmtId="2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1" xfId="0" applyFill="1" applyBorder="1" applyAlignment="1">
      <alignment/>
    </xf>
    <xf numFmtId="4" fontId="0" fillId="2" borderId="1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2" borderId="8" xfId="0" applyNumberFormat="1" applyFill="1" applyBorder="1" applyAlignment="1">
      <alignment/>
    </xf>
    <xf numFmtId="4" fontId="0" fillId="3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5" xfId="0" applyFill="1" applyBorder="1" applyAlignment="1">
      <alignment/>
    </xf>
    <xf numFmtId="0" fontId="0" fillId="4" borderId="12" xfId="0" applyFill="1" applyBorder="1" applyAlignment="1">
      <alignment horizontal="left"/>
    </xf>
    <xf numFmtId="3" fontId="0" fillId="4" borderId="11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justify" wrapText="1"/>
    </xf>
    <xf numFmtId="2" fontId="3" fillId="0" borderId="17" xfId="0" applyNumberFormat="1" applyFont="1" applyBorder="1" applyAlignment="1">
      <alignment horizontal="center" vertical="justify" wrapText="1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12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17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15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3" xfId="0" applyFill="1" applyBorder="1" applyAlignment="1">
      <alignment horizontal="left"/>
    </xf>
    <xf numFmtId="4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4" borderId="16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3" xfId="0" applyFont="1" applyFill="1" applyBorder="1" applyAlignment="1">
      <alignment/>
    </xf>
    <xf numFmtId="2" fontId="0" fillId="4" borderId="3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2" fontId="0" fillId="4" borderId="28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right"/>
    </xf>
    <xf numFmtId="0" fontId="10" fillId="4" borderId="3" xfId="0" applyFont="1" applyFill="1" applyBorder="1" applyAlignment="1">
      <alignment/>
    </xf>
    <xf numFmtId="0" fontId="0" fillId="4" borderId="3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2" fontId="9" fillId="0" borderId="3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/>
    </xf>
    <xf numFmtId="0" fontId="0" fillId="0" borderId="3" xfId="0" applyFont="1" applyBorder="1" applyAlignment="1">
      <alignment horizontal="right"/>
    </xf>
    <xf numFmtId="2" fontId="12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vertical="justify" wrapText="1"/>
    </xf>
    <xf numFmtId="2" fontId="3" fillId="4" borderId="17" xfId="0" applyNumberFormat="1" applyFont="1" applyFill="1" applyBorder="1" applyAlignment="1">
      <alignment horizontal="center" vertical="justify" wrapText="1"/>
    </xf>
    <xf numFmtId="0" fontId="8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center"/>
    </xf>
    <xf numFmtId="0" fontId="0" fillId="4" borderId="19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2" fontId="0" fillId="4" borderId="19" xfId="0" applyNumberFormat="1" applyFont="1" applyFill="1" applyBorder="1" applyAlignment="1">
      <alignment horizontal="center"/>
    </xf>
    <xf numFmtId="2" fontId="8" fillId="4" borderId="2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4" fontId="0" fillId="5" borderId="3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9" fillId="0" borderId="12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right"/>
    </xf>
    <xf numFmtId="0" fontId="9" fillId="4" borderId="3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2" fontId="9" fillId="4" borderId="12" xfId="0" applyNumberFormat="1" applyFont="1" applyFill="1" applyBorder="1" applyAlignment="1">
      <alignment horizontal="center"/>
    </xf>
    <xf numFmtId="2" fontId="9" fillId="4" borderId="17" xfId="0" applyNumberFormat="1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9" fillId="4" borderId="12" xfId="0" applyFont="1" applyFill="1" applyBorder="1" applyAlignment="1">
      <alignment horizontal="left"/>
    </xf>
    <xf numFmtId="2" fontId="12" fillId="4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2" fontId="0" fillId="4" borderId="4" xfId="0" applyNumberFormat="1" applyFill="1" applyBorder="1" applyAlignment="1">
      <alignment/>
    </xf>
    <xf numFmtId="4" fontId="0" fillId="5" borderId="12" xfId="0" applyNumberFormat="1" applyFill="1" applyBorder="1" applyAlignment="1">
      <alignment/>
    </xf>
    <xf numFmtId="0" fontId="0" fillId="5" borderId="13" xfId="0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4" fillId="2" borderId="2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0" xfId="0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4" fontId="0" fillId="3" borderId="30" xfId="0" applyNumberForma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4" fontId="0" fillId="0" borderId="3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3" borderId="31" xfId="0" applyNumberFormat="1" applyFont="1" applyFill="1" applyBorder="1" applyAlignment="1">
      <alignment/>
    </xf>
    <xf numFmtId="0" fontId="4" fillId="2" borderId="31" xfId="0" applyFont="1" applyFill="1" applyBorder="1" applyAlignment="1">
      <alignment/>
    </xf>
    <xf numFmtId="4" fontId="0" fillId="4" borderId="8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0" borderId="32" xfId="0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3" borderId="15" xfId="0" applyFill="1" applyBorder="1" applyAlignment="1">
      <alignment/>
    </xf>
    <xf numFmtId="2" fontId="0" fillId="3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33" xfId="0" applyFill="1" applyBorder="1" applyAlignment="1">
      <alignment/>
    </xf>
    <xf numFmtId="4" fontId="0" fillId="0" borderId="33" xfId="0" applyNumberFormat="1" applyFill="1" applyBorder="1" applyAlignment="1">
      <alignment/>
    </xf>
    <xf numFmtId="16" fontId="0" fillId="0" borderId="0" xfId="0" applyNumberFormat="1" applyAlignment="1">
      <alignment horizontal="right"/>
    </xf>
    <xf numFmtId="2" fontId="0" fillId="0" borderId="0" xfId="0" applyNumberFormat="1" applyFill="1" applyAlignment="1">
      <alignment/>
    </xf>
    <xf numFmtId="0" fontId="8" fillId="6" borderId="34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workbookViewId="0" topLeftCell="A1">
      <selection activeCell="J13" sqref="J13"/>
    </sheetView>
  </sheetViews>
  <sheetFormatPr defaultColWidth="9.140625" defaultRowHeight="12.75"/>
  <cols>
    <col min="1" max="1" width="5.28125" style="144" customWidth="1"/>
    <col min="2" max="2" width="15.7109375" style="144" customWidth="1"/>
    <col min="3" max="3" width="33.8515625" style="145" customWidth="1"/>
    <col min="4" max="4" width="30.140625" style="145" customWidth="1"/>
    <col min="5" max="5" width="29.421875" style="145" customWidth="1"/>
    <col min="6" max="6" width="12.7109375" style="150" customWidth="1"/>
    <col min="7" max="7" width="13.28125" style="150" customWidth="1"/>
  </cols>
  <sheetData>
    <row r="1" spans="1:8" ht="17.25" customHeight="1" thickTop="1">
      <c r="A1" s="280" t="s">
        <v>263</v>
      </c>
      <c r="B1" s="281"/>
      <c r="C1" s="281"/>
      <c r="D1" s="281"/>
      <c r="E1" s="281"/>
      <c r="F1" s="281"/>
      <c r="G1" s="282"/>
      <c r="H1" s="87"/>
    </row>
    <row r="2" spans="1:8" ht="12.75">
      <c r="A2" s="286" t="s">
        <v>132</v>
      </c>
      <c r="B2" s="287"/>
      <c r="C2" s="287"/>
      <c r="D2" s="287" t="s">
        <v>133</v>
      </c>
      <c r="E2" s="287"/>
      <c r="F2" s="287"/>
      <c r="G2" s="288"/>
      <c r="H2" s="87"/>
    </row>
    <row r="3" spans="1:8" ht="12.75">
      <c r="A3" s="289" t="s">
        <v>134</v>
      </c>
      <c r="B3" s="290"/>
      <c r="C3" s="290"/>
      <c r="D3" s="291"/>
      <c r="E3" s="291"/>
      <c r="F3" s="291"/>
      <c r="G3" s="292"/>
      <c r="H3" s="87"/>
    </row>
    <row r="4" spans="1:8" ht="18" customHeight="1">
      <c r="A4" s="283" t="s">
        <v>135</v>
      </c>
      <c r="B4" s="284"/>
      <c r="C4" s="284"/>
      <c r="D4" s="284"/>
      <c r="E4" s="284"/>
      <c r="F4" s="284"/>
      <c r="G4" s="285"/>
      <c r="H4" s="87"/>
    </row>
    <row r="5" spans="1:8" ht="15.75" customHeight="1">
      <c r="A5" s="206" t="s">
        <v>136</v>
      </c>
      <c r="B5" s="207" t="s">
        <v>137</v>
      </c>
      <c r="C5" s="207"/>
      <c r="D5" s="207" t="s">
        <v>138</v>
      </c>
      <c r="E5" s="207"/>
      <c r="F5" s="208" t="s">
        <v>139</v>
      </c>
      <c r="G5" s="209" t="s">
        <v>140</v>
      </c>
      <c r="H5" s="87"/>
    </row>
    <row r="6" spans="1:8" ht="12.75" customHeight="1">
      <c r="A6" s="206"/>
      <c r="B6" s="207"/>
      <c r="C6" s="207"/>
      <c r="D6" s="207"/>
      <c r="E6" s="207"/>
      <c r="F6" s="208"/>
      <c r="G6" s="209"/>
      <c r="H6" s="87"/>
    </row>
    <row r="7" spans="1:8" ht="12.75">
      <c r="A7" s="178">
        <v>1</v>
      </c>
      <c r="B7" s="179" t="s">
        <v>264</v>
      </c>
      <c r="C7" s="165" t="s">
        <v>265</v>
      </c>
      <c r="D7" s="176" t="s">
        <v>143</v>
      </c>
      <c r="E7" s="182" t="s">
        <v>266</v>
      </c>
      <c r="F7" s="177">
        <v>3</v>
      </c>
      <c r="G7" s="174">
        <f aca="true" t="shared" si="0" ref="G7:G17">A7*F7</f>
        <v>3</v>
      </c>
      <c r="H7" s="87"/>
    </row>
    <row r="8" spans="1:8" ht="12.75">
      <c r="A8" s="178">
        <v>2</v>
      </c>
      <c r="B8" s="179" t="s">
        <v>145</v>
      </c>
      <c r="C8" s="165"/>
      <c r="D8" s="176" t="s">
        <v>146</v>
      </c>
      <c r="E8" s="182"/>
      <c r="F8" s="177">
        <v>0.13</v>
      </c>
      <c r="G8" s="174">
        <f t="shared" si="0"/>
        <v>0.26</v>
      </c>
      <c r="H8" s="87"/>
    </row>
    <row r="9" spans="1:8" ht="12.75">
      <c r="A9" s="178">
        <v>2</v>
      </c>
      <c r="B9" s="179" t="s">
        <v>147</v>
      </c>
      <c r="C9" s="165"/>
      <c r="D9" s="176" t="s">
        <v>148</v>
      </c>
      <c r="E9" s="182"/>
      <c r="F9" s="177">
        <v>0.03</v>
      </c>
      <c r="G9" s="174">
        <f t="shared" si="0"/>
        <v>0.06</v>
      </c>
      <c r="H9" s="87"/>
    </row>
    <row r="10" spans="1:8" s="16" customFormat="1" ht="12.75">
      <c r="A10" s="184">
        <v>2</v>
      </c>
      <c r="B10" s="185" t="s">
        <v>149</v>
      </c>
      <c r="C10" s="153"/>
      <c r="D10" s="186" t="s">
        <v>150</v>
      </c>
      <c r="E10" s="187" t="s">
        <v>151</v>
      </c>
      <c r="F10" s="188">
        <v>5</v>
      </c>
      <c r="G10" s="189">
        <f t="shared" si="0"/>
        <v>10</v>
      </c>
      <c r="H10" s="156"/>
    </row>
    <row r="11" spans="1:8" ht="12.75">
      <c r="A11" s="178">
        <v>22</v>
      </c>
      <c r="B11" s="179" t="s">
        <v>155</v>
      </c>
      <c r="C11" s="165"/>
      <c r="D11" s="176" t="s">
        <v>156</v>
      </c>
      <c r="E11" s="182"/>
      <c r="F11" s="177">
        <v>0.04</v>
      </c>
      <c r="G11" s="174">
        <f t="shared" si="0"/>
        <v>0.88</v>
      </c>
      <c r="H11" s="87"/>
    </row>
    <row r="12" spans="1:7" s="87" customFormat="1" ht="12.75">
      <c r="A12" s="162">
        <v>4</v>
      </c>
      <c r="B12" s="168" t="s">
        <v>157</v>
      </c>
      <c r="C12" s="183" t="s">
        <v>158</v>
      </c>
      <c r="D12" s="165" t="s">
        <v>159</v>
      </c>
      <c r="E12" s="165" t="s">
        <v>267</v>
      </c>
      <c r="F12" s="169">
        <v>0.5</v>
      </c>
      <c r="G12" s="167">
        <f t="shared" si="0"/>
        <v>2</v>
      </c>
    </row>
    <row r="13" spans="1:7" s="87" customFormat="1" ht="12.75">
      <c r="A13" s="162">
        <v>6</v>
      </c>
      <c r="B13" s="168" t="s">
        <v>152</v>
      </c>
      <c r="C13" s="165"/>
      <c r="D13" s="165" t="s">
        <v>161</v>
      </c>
      <c r="E13" s="165"/>
      <c r="F13" s="169">
        <v>0.02</v>
      </c>
      <c r="G13" s="167">
        <f t="shared" si="0"/>
        <v>0.12</v>
      </c>
    </row>
    <row r="14" spans="1:8" s="87" customFormat="1" ht="12.75">
      <c r="A14" s="162">
        <v>2</v>
      </c>
      <c r="B14" s="168" t="s">
        <v>157</v>
      </c>
      <c r="C14" s="165"/>
      <c r="D14" s="165" t="s">
        <v>159</v>
      </c>
      <c r="E14" s="165" t="s">
        <v>267</v>
      </c>
      <c r="F14" s="169">
        <v>0.5</v>
      </c>
      <c r="G14" s="167">
        <f t="shared" si="0"/>
        <v>1</v>
      </c>
      <c r="H14" s="103"/>
    </row>
    <row r="15" spans="1:7" s="87" customFormat="1" ht="12.75">
      <c r="A15" s="162">
        <v>2</v>
      </c>
      <c r="B15" s="168" t="s">
        <v>162</v>
      </c>
      <c r="C15" s="183" t="s">
        <v>163</v>
      </c>
      <c r="D15" s="165" t="s">
        <v>159</v>
      </c>
      <c r="E15" s="165" t="s">
        <v>164</v>
      </c>
      <c r="F15" s="169">
        <v>0.02</v>
      </c>
      <c r="G15" s="167">
        <f t="shared" si="0"/>
        <v>0.04</v>
      </c>
    </row>
    <row r="16" spans="1:7" s="87" customFormat="1" ht="12.75">
      <c r="A16" s="162">
        <v>1</v>
      </c>
      <c r="B16" s="168" t="s">
        <v>165</v>
      </c>
      <c r="C16" s="183" t="s">
        <v>166</v>
      </c>
      <c r="D16" s="165" t="s">
        <v>167</v>
      </c>
      <c r="E16" s="165" t="s">
        <v>168</v>
      </c>
      <c r="F16" s="169">
        <v>0.02</v>
      </c>
      <c r="G16" s="167">
        <f t="shared" si="0"/>
        <v>0.02</v>
      </c>
    </row>
    <row r="17" spans="1:8" s="87" customFormat="1" ht="12.75">
      <c r="A17" s="162">
        <v>1</v>
      </c>
      <c r="B17" s="168" t="s">
        <v>169</v>
      </c>
      <c r="C17" s="183"/>
      <c r="D17" s="165" t="s">
        <v>170</v>
      </c>
      <c r="E17" s="165" t="s">
        <v>268</v>
      </c>
      <c r="F17" s="169">
        <v>3</v>
      </c>
      <c r="G17" s="167">
        <f t="shared" si="0"/>
        <v>3</v>
      </c>
      <c r="H17" s="103"/>
    </row>
    <row r="18" spans="1:7" s="156" customFormat="1" ht="12.75">
      <c r="A18" s="151">
        <v>6</v>
      </c>
      <c r="B18" s="152" t="s">
        <v>172</v>
      </c>
      <c r="C18" s="216" t="s">
        <v>173</v>
      </c>
      <c r="D18" s="153" t="s">
        <v>174</v>
      </c>
      <c r="E18" s="153" t="s">
        <v>269</v>
      </c>
      <c r="F18" s="154">
        <v>0.12</v>
      </c>
      <c r="G18" s="155">
        <f>A18*F18</f>
        <v>0.72</v>
      </c>
    </row>
    <row r="19" spans="1:7" s="156" customFormat="1" ht="14.25">
      <c r="A19" s="190">
        <v>3</v>
      </c>
      <c r="B19" s="191" t="s">
        <v>177</v>
      </c>
      <c r="C19" s="192" t="s">
        <v>178</v>
      </c>
      <c r="D19" s="193" t="s">
        <v>270</v>
      </c>
      <c r="E19" s="197" t="s">
        <v>271</v>
      </c>
      <c r="F19" s="198">
        <v>5</v>
      </c>
      <c r="G19" s="195">
        <f>A19*F19</f>
        <v>15</v>
      </c>
    </row>
    <row r="20" spans="1:7" s="156" customFormat="1" ht="12.75">
      <c r="A20" s="190">
        <v>1</v>
      </c>
      <c r="B20" s="191" t="s">
        <v>152</v>
      </c>
      <c r="C20" s="192" t="s">
        <v>180</v>
      </c>
      <c r="D20" s="193" t="s">
        <v>181</v>
      </c>
      <c r="E20" s="193"/>
      <c r="F20" s="194">
        <v>45</v>
      </c>
      <c r="G20" s="195">
        <f aca="true" t="shared" si="1" ref="G20:G25">A20*F20</f>
        <v>45</v>
      </c>
    </row>
    <row r="21" spans="1:8" ht="12.75">
      <c r="A21" s="100"/>
      <c r="B21" s="110"/>
      <c r="C21" s="111"/>
      <c r="D21" s="94"/>
      <c r="E21" s="111"/>
      <c r="F21" s="112"/>
      <c r="G21" s="203"/>
      <c r="H21" s="113"/>
    </row>
    <row r="22" spans="1:8" s="156" customFormat="1" ht="12.75">
      <c r="A22" s="151">
        <v>1</v>
      </c>
      <c r="B22" s="152" t="s">
        <v>152</v>
      </c>
      <c r="C22" s="153" t="s">
        <v>182</v>
      </c>
      <c r="D22" s="153" t="s">
        <v>183</v>
      </c>
      <c r="E22" s="153"/>
      <c r="F22" s="154">
        <v>2</v>
      </c>
      <c r="G22" s="155">
        <f t="shared" si="1"/>
        <v>2</v>
      </c>
      <c r="H22" s="196"/>
    </row>
    <row r="23" spans="1:8" s="156" customFormat="1" ht="12.75">
      <c r="A23" s="151">
        <v>2</v>
      </c>
      <c r="B23" s="152" t="s">
        <v>152</v>
      </c>
      <c r="C23" s="199"/>
      <c r="D23" s="153" t="s">
        <v>184</v>
      </c>
      <c r="E23" s="199"/>
      <c r="F23" s="200">
        <v>20</v>
      </c>
      <c r="G23" s="155">
        <f t="shared" si="1"/>
        <v>40</v>
      </c>
      <c r="H23" s="196"/>
    </row>
    <row r="24" spans="1:8" ht="12.75">
      <c r="A24" s="162">
        <v>3</v>
      </c>
      <c r="B24" s="163" t="s">
        <v>162</v>
      </c>
      <c r="C24" s="181" t="s">
        <v>185</v>
      </c>
      <c r="D24" s="165" t="s">
        <v>186</v>
      </c>
      <c r="E24" s="164" t="s">
        <v>187</v>
      </c>
      <c r="F24" s="166">
        <v>0.05</v>
      </c>
      <c r="G24" s="167">
        <f t="shared" si="1"/>
        <v>0.15000000000000002</v>
      </c>
      <c r="H24" s="113"/>
    </row>
    <row r="25" spans="1:8" ht="12.75">
      <c r="A25" s="162">
        <v>2</v>
      </c>
      <c r="B25" s="163" t="s">
        <v>188</v>
      </c>
      <c r="C25" s="181" t="s">
        <v>189</v>
      </c>
      <c r="D25" s="165" t="s">
        <v>186</v>
      </c>
      <c r="E25" s="164" t="s">
        <v>190</v>
      </c>
      <c r="F25" s="166">
        <v>0.1</v>
      </c>
      <c r="G25" s="167">
        <f t="shared" si="1"/>
        <v>0.2</v>
      </c>
      <c r="H25" s="113"/>
    </row>
    <row r="26" spans="1:8" ht="12.75">
      <c r="A26" s="162">
        <v>2</v>
      </c>
      <c r="B26" s="163" t="s">
        <v>191</v>
      </c>
      <c r="C26" s="181" t="s">
        <v>192</v>
      </c>
      <c r="D26" s="165" t="s">
        <v>186</v>
      </c>
      <c r="E26" s="164" t="s">
        <v>193</v>
      </c>
      <c r="F26" s="166">
        <v>0.2</v>
      </c>
      <c r="G26" s="167">
        <f>A26*F26</f>
        <v>0.4</v>
      </c>
      <c r="H26" s="113"/>
    </row>
    <row r="27" spans="1:8" ht="13.5" thickBot="1">
      <c r="A27" s="162">
        <v>1</v>
      </c>
      <c r="B27" s="163" t="s">
        <v>194</v>
      </c>
      <c r="C27" s="181" t="s">
        <v>195</v>
      </c>
      <c r="D27" s="165" t="s">
        <v>196</v>
      </c>
      <c r="E27" s="164" t="s">
        <v>243</v>
      </c>
      <c r="F27" s="166">
        <v>3</v>
      </c>
      <c r="G27" s="167">
        <f>A27*F27</f>
        <v>3</v>
      </c>
      <c r="H27" s="113"/>
    </row>
    <row r="28" spans="1:8" ht="16.5" thickBot="1">
      <c r="A28" s="210" t="s">
        <v>262</v>
      </c>
      <c r="B28" s="211"/>
      <c r="C28" s="212"/>
      <c r="D28" s="213"/>
      <c r="E28" s="213"/>
      <c r="F28" s="214"/>
      <c r="G28" s="215">
        <f>SUM(G7:G9,G11:G17,G24:G27)</f>
        <v>14.129999999999999</v>
      </c>
      <c r="H28" s="87"/>
    </row>
    <row r="29" spans="1:7" s="87" customFormat="1" ht="13.5" thickTop="1">
      <c r="A29" s="162">
        <v>2</v>
      </c>
      <c r="B29" s="163" t="s">
        <v>198</v>
      </c>
      <c r="C29" s="164" t="s">
        <v>199</v>
      </c>
      <c r="D29" s="165" t="s">
        <v>200</v>
      </c>
      <c r="E29" s="164"/>
      <c r="F29" s="166">
        <v>0.06</v>
      </c>
      <c r="G29" s="167">
        <f>A29*F29</f>
        <v>0.12</v>
      </c>
    </row>
    <row r="30" spans="1:7" s="87" customFormat="1" ht="12.75">
      <c r="A30" s="162">
        <v>3</v>
      </c>
      <c r="B30" s="163" t="s">
        <v>201</v>
      </c>
      <c r="C30" s="164"/>
      <c r="D30" s="165" t="s">
        <v>202</v>
      </c>
      <c r="E30" s="164"/>
      <c r="F30" s="166">
        <v>0.02</v>
      </c>
      <c r="G30" s="167">
        <f>A30*F30</f>
        <v>0.06</v>
      </c>
    </row>
    <row r="31" spans="1:7" s="87" customFormat="1" ht="12.75">
      <c r="A31" s="162">
        <v>6</v>
      </c>
      <c r="B31" s="163" t="s">
        <v>155</v>
      </c>
      <c r="C31" s="164"/>
      <c r="D31" s="165" t="s">
        <v>203</v>
      </c>
      <c r="E31" s="164"/>
      <c r="F31" s="166">
        <v>0.04</v>
      </c>
      <c r="G31" s="167">
        <f>A31*F31</f>
        <v>0.24</v>
      </c>
    </row>
    <row r="32" spans="1:7" s="87" customFormat="1" ht="12.75">
      <c r="A32" s="162">
        <v>1</v>
      </c>
      <c r="B32" s="168" t="s">
        <v>204</v>
      </c>
      <c r="C32" s="165"/>
      <c r="D32" s="165" t="s">
        <v>205</v>
      </c>
      <c r="E32" s="165" t="s">
        <v>206</v>
      </c>
      <c r="F32" s="169">
        <v>0.1</v>
      </c>
      <c r="G32" s="167">
        <f>A32*F32</f>
        <v>0.1</v>
      </c>
    </row>
    <row r="33" spans="1:7" s="87" customFormat="1" ht="12.75">
      <c r="A33" s="162">
        <v>3</v>
      </c>
      <c r="B33" s="163" t="s">
        <v>207</v>
      </c>
      <c r="C33" s="164"/>
      <c r="D33" s="165" t="s">
        <v>208</v>
      </c>
      <c r="E33" s="164" t="s">
        <v>209</v>
      </c>
      <c r="F33" s="166">
        <v>0.34</v>
      </c>
      <c r="G33" s="174">
        <f aca="true" t="shared" si="2" ref="G33:G43">A33*F33</f>
        <v>1.02</v>
      </c>
    </row>
    <row r="34" spans="1:7" s="156" customFormat="1" ht="12.75">
      <c r="A34" s="162">
        <v>3</v>
      </c>
      <c r="B34" s="163" t="s">
        <v>210</v>
      </c>
      <c r="C34" s="164"/>
      <c r="D34" s="165" t="s">
        <v>211</v>
      </c>
      <c r="E34" s="164" t="s">
        <v>212</v>
      </c>
      <c r="F34" s="166">
        <v>0.35</v>
      </c>
      <c r="G34" s="174">
        <f t="shared" si="2"/>
        <v>1.0499999999999998</v>
      </c>
    </row>
    <row r="35" spans="1:8" s="115" customFormat="1" ht="12.75">
      <c r="A35" s="170">
        <v>2</v>
      </c>
      <c r="B35" s="171" t="s">
        <v>213</v>
      </c>
      <c r="C35" s="172"/>
      <c r="D35" s="172" t="s">
        <v>214</v>
      </c>
      <c r="E35" s="164"/>
      <c r="F35" s="173">
        <v>8.3</v>
      </c>
      <c r="G35" s="174">
        <f t="shared" si="2"/>
        <v>16.6</v>
      </c>
      <c r="H35" s="87"/>
    </row>
    <row r="36" spans="1:8" s="115" customFormat="1" ht="12.75">
      <c r="A36" s="170">
        <v>1</v>
      </c>
      <c r="B36" s="171" t="s">
        <v>215</v>
      </c>
      <c r="C36" s="172"/>
      <c r="D36" s="172" t="s">
        <v>216</v>
      </c>
      <c r="E36" s="164"/>
      <c r="F36" s="173">
        <v>4.7</v>
      </c>
      <c r="G36" s="174">
        <f t="shared" si="2"/>
        <v>4.7</v>
      </c>
      <c r="H36" s="87"/>
    </row>
    <row r="37" spans="1:8" s="115" customFormat="1" ht="12.75">
      <c r="A37" s="170">
        <v>3</v>
      </c>
      <c r="B37" s="171" t="s">
        <v>217</v>
      </c>
      <c r="C37" s="172"/>
      <c r="D37" s="172" t="s">
        <v>218</v>
      </c>
      <c r="E37" s="164"/>
      <c r="F37" s="173">
        <v>0.2</v>
      </c>
      <c r="G37" s="174">
        <f t="shared" si="2"/>
        <v>0.6000000000000001</v>
      </c>
      <c r="H37" s="87"/>
    </row>
    <row r="38" spans="1:8" s="115" customFormat="1" ht="13.5">
      <c r="A38" s="175">
        <v>1</v>
      </c>
      <c r="B38" s="171" t="s">
        <v>219</v>
      </c>
      <c r="C38" s="176"/>
      <c r="D38" s="176" t="s">
        <v>220</v>
      </c>
      <c r="E38" s="164" t="s">
        <v>221</v>
      </c>
      <c r="F38" s="177">
        <v>0.03</v>
      </c>
      <c r="G38" s="174">
        <f t="shared" si="2"/>
        <v>0.03</v>
      </c>
      <c r="H38" s="87"/>
    </row>
    <row r="39" spans="1:8" s="115" customFormat="1" ht="12.75">
      <c r="A39" s="178">
        <v>1</v>
      </c>
      <c r="B39" s="179" t="s">
        <v>152</v>
      </c>
      <c r="C39" s="176"/>
      <c r="D39" s="176" t="s">
        <v>222</v>
      </c>
      <c r="E39" s="164" t="s">
        <v>223</v>
      </c>
      <c r="F39" s="177">
        <v>0.5</v>
      </c>
      <c r="G39" s="174">
        <f t="shared" si="2"/>
        <v>0.5</v>
      </c>
      <c r="H39" s="87"/>
    </row>
    <row r="40" spans="1:8" s="115" customFormat="1" ht="12.75">
      <c r="A40" s="170">
        <v>1</v>
      </c>
      <c r="B40" s="171" t="s">
        <v>152</v>
      </c>
      <c r="C40" s="172"/>
      <c r="D40" s="172" t="s">
        <v>224</v>
      </c>
      <c r="E40" s="164" t="s">
        <v>225</v>
      </c>
      <c r="F40" s="173">
        <v>3.5</v>
      </c>
      <c r="G40" s="180">
        <f t="shared" si="2"/>
        <v>3.5</v>
      </c>
      <c r="H40" s="103"/>
    </row>
    <row r="41" spans="1:7" s="87" customFormat="1" ht="12.75">
      <c r="A41" s="162">
        <v>1</v>
      </c>
      <c r="B41" s="163" t="s">
        <v>226</v>
      </c>
      <c r="C41" s="181" t="s">
        <v>227</v>
      </c>
      <c r="D41" s="165" t="s">
        <v>228</v>
      </c>
      <c r="E41" s="164" t="s">
        <v>229</v>
      </c>
      <c r="F41" s="166">
        <v>0.7</v>
      </c>
      <c r="G41" s="167">
        <f t="shared" si="2"/>
        <v>0.7</v>
      </c>
    </row>
    <row r="42" spans="1:7" s="87" customFormat="1" ht="12.75">
      <c r="A42" s="162">
        <v>1</v>
      </c>
      <c r="B42" s="163" t="s">
        <v>141</v>
      </c>
      <c r="C42" s="181" t="s">
        <v>230</v>
      </c>
      <c r="D42" s="165" t="s">
        <v>231</v>
      </c>
      <c r="E42" s="164" t="s">
        <v>232</v>
      </c>
      <c r="F42" s="166">
        <v>2.3</v>
      </c>
      <c r="G42" s="167">
        <f t="shared" si="2"/>
        <v>2.3</v>
      </c>
    </row>
    <row r="43" spans="1:7" s="87" customFormat="1" ht="13.5" thickBot="1">
      <c r="A43" s="162">
        <v>1</v>
      </c>
      <c r="B43" s="163" t="s">
        <v>233</v>
      </c>
      <c r="C43" s="181" t="s">
        <v>234</v>
      </c>
      <c r="D43" s="165" t="s">
        <v>235</v>
      </c>
      <c r="E43" s="164" t="s">
        <v>236</v>
      </c>
      <c r="F43" s="166">
        <v>0.8</v>
      </c>
      <c r="G43" s="167">
        <f t="shared" si="2"/>
        <v>0.8</v>
      </c>
    </row>
    <row r="44" spans="1:8" ht="16.5" thickBot="1">
      <c r="A44" s="210" t="s">
        <v>276</v>
      </c>
      <c r="B44" s="211"/>
      <c r="C44" s="212"/>
      <c r="D44" s="213"/>
      <c r="E44" s="213"/>
      <c r="F44" s="214"/>
      <c r="G44" s="215">
        <f>SUM(G29:G43)</f>
        <v>32.32</v>
      </c>
      <c r="H44" s="87"/>
    </row>
    <row r="45" spans="1:8" ht="16.5" thickTop="1">
      <c r="A45" s="122"/>
      <c r="B45" s="123"/>
      <c r="C45" s="124"/>
      <c r="D45" s="125"/>
      <c r="E45" s="125"/>
      <c r="F45" s="126"/>
      <c r="G45" s="127"/>
      <c r="H45" s="87"/>
    </row>
    <row r="46" spans="1:8" ht="15.75">
      <c r="A46" s="122"/>
      <c r="B46" s="123"/>
      <c r="C46" s="124"/>
      <c r="D46" s="125"/>
      <c r="E46" s="125"/>
      <c r="F46" s="126"/>
      <c r="G46" s="127"/>
      <c r="H46" s="87"/>
    </row>
    <row r="47" spans="1:8" ht="15.75">
      <c r="A47" s="122"/>
      <c r="B47" s="123"/>
      <c r="C47" s="124"/>
      <c r="D47" s="125"/>
      <c r="E47" s="125"/>
      <c r="F47" s="126"/>
      <c r="G47" s="127"/>
      <c r="H47" s="87"/>
    </row>
    <row r="48" spans="1:8" ht="15.75">
      <c r="A48" s="122"/>
      <c r="B48" s="123"/>
      <c r="C48" s="124"/>
      <c r="D48" s="125"/>
      <c r="E48" s="125"/>
      <c r="F48" s="126"/>
      <c r="G48" s="127"/>
      <c r="H48" s="87"/>
    </row>
    <row r="49" spans="1:8" ht="15.75">
      <c r="A49" s="122"/>
      <c r="B49" s="123"/>
      <c r="C49" s="124"/>
      <c r="D49" s="125"/>
      <c r="E49" s="125"/>
      <c r="F49" s="126"/>
      <c r="G49" s="127"/>
      <c r="H49" s="87"/>
    </row>
    <row r="50" spans="1:8" ht="15.75">
      <c r="A50" s="122"/>
      <c r="B50" s="123"/>
      <c r="C50" s="124"/>
      <c r="D50" s="125"/>
      <c r="E50" s="125"/>
      <c r="F50" s="126"/>
      <c r="G50" s="127"/>
      <c r="H50" s="87"/>
    </row>
    <row r="51" spans="1:8" ht="15.75">
      <c r="A51" s="122"/>
      <c r="B51" s="123"/>
      <c r="C51" s="124"/>
      <c r="D51" s="125"/>
      <c r="E51" s="125"/>
      <c r="F51" s="126"/>
      <c r="G51" s="127"/>
      <c r="H51" s="87"/>
    </row>
    <row r="52" spans="1:8" ht="15.75">
      <c r="A52" s="122"/>
      <c r="B52" s="123"/>
      <c r="C52" s="124"/>
      <c r="D52" s="125"/>
      <c r="E52" s="125"/>
      <c r="F52" s="126"/>
      <c r="G52" s="127"/>
      <c r="H52" s="87"/>
    </row>
    <row r="53" spans="1:8" ht="15.75">
      <c r="A53" s="122"/>
      <c r="B53" s="123"/>
      <c r="C53" s="124"/>
      <c r="D53" s="125"/>
      <c r="E53" s="125"/>
      <c r="F53" s="126"/>
      <c r="G53" s="127"/>
      <c r="H53" s="87"/>
    </row>
    <row r="54" spans="1:8" ht="15.75">
      <c r="A54" s="122"/>
      <c r="B54" s="123"/>
      <c r="C54" s="124"/>
      <c r="D54" s="125"/>
      <c r="E54" s="125"/>
      <c r="F54" s="126"/>
      <c r="G54" s="127"/>
      <c r="H54" s="87"/>
    </row>
    <row r="55" spans="1:8" ht="15.75">
      <c r="A55" s="122"/>
      <c r="B55" s="123"/>
      <c r="C55" s="124"/>
      <c r="D55" s="125"/>
      <c r="E55" s="125"/>
      <c r="F55" s="126"/>
      <c r="G55" s="127"/>
      <c r="H55" s="87"/>
    </row>
    <row r="56" spans="1:8" ht="15.75">
      <c r="A56" s="122"/>
      <c r="B56" s="123"/>
      <c r="C56" s="124"/>
      <c r="D56" s="125"/>
      <c r="E56" s="125"/>
      <c r="F56" s="126"/>
      <c r="G56" s="127"/>
      <c r="H56" s="87"/>
    </row>
    <row r="57" spans="1:8" ht="15.75">
      <c r="A57" s="122"/>
      <c r="B57" s="123"/>
      <c r="C57" s="124"/>
      <c r="D57" s="125"/>
      <c r="E57" s="125"/>
      <c r="F57" s="126"/>
      <c r="G57" s="127"/>
      <c r="H57" s="87"/>
    </row>
    <row r="58" spans="1:8" ht="15.75">
      <c r="A58" s="122"/>
      <c r="B58" s="123"/>
      <c r="C58" s="124"/>
      <c r="D58" s="125"/>
      <c r="E58" s="125"/>
      <c r="F58" s="126"/>
      <c r="G58" s="127"/>
      <c r="H58" s="87"/>
    </row>
    <row r="59" spans="1:8" ht="15.75">
      <c r="A59" s="122"/>
      <c r="B59" s="123"/>
      <c r="C59" s="124"/>
      <c r="D59" s="125"/>
      <c r="E59" s="125"/>
      <c r="F59" s="126"/>
      <c r="G59" s="127"/>
      <c r="H59" s="87"/>
    </row>
    <row r="60" spans="1:8" ht="15.75">
      <c r="A60" s="122"/>
      <c r="B60" s="123"/>
      <c r="C60" s="124"/>
      <c r="D60" s="125"/>
      <c r="E60" s="125"/>
      <c r="F60" s="126"/>
      <c r="G60" s="127"/>
      <c r="H60" s="87"/>
    </row>
    <row r="61" spans="1:8" ht="16.5" thickBot="1">
      <c r="A61" s="122"/>
      <c r="B61" s="123"/>
      <c r="C61" s="124"/>
      <c r="D61" s="125"/>
      <c r="E61" s="125"/>
      <c r="F61" s="126"/>
      <c r="G61" s="127"/>
      <c r="H61" s="87"/>
    </row>
    <row r="62" spans="1:8" ht="17.25" customHeight="1" thickTop="1">
      <c r="A62" s="280" t="s">
        <v>263</v>
      </c>
      <c r="B62" s="281"/>
      <c r="C62" s="281"/>
      <c r="D62" s="281"/>
      <c r="E62" s="281"/>
      <c r="F62" s="281"/>
      <c r="G62" s="282"/>
      <c r="H62" s="87"/>
    </row>
    <row r="63" spans="1:8" ht="12.75">
      <c r="A63" s="286" t="s">
        <v>132</v>
      </c>
      <c r="B63" s="287"/>
      <c r="C63" s="287"/>
      <c r="D63" s="287" t="s">
        <v>133</v>
      </c>
      <c r="E63" s="287"/>
      <c r="F63" s="287"/>
      <c r="G63" s="288"/>
      <c r="H63" s="87"/>
    </row>
    <row r="64" spans="1:8" ht="12.75">
      <c r="A64" s="289" t="s">
        <v>134</v>
      </c>
      <c r="B64" s="290"/>
      <c r="C64" s="290"/>
      <c r="D64" s="291"/>
      <c r="E64" s="291"/>
      <c r="F64" s="291"/>
      <c r="G64" s="292"/>
      <c r="H64" s="87"/>
    </row>
    <row r="65" spans="1:8" ht="18" customHeight="1" thickBot="1">
      <c r="A65" s="283" t="s">
        <v>135</v>
      </c>
      <c r="B65" s="284"/>
      <c r="C65" s="284"/>
      <c r="D65" s="284"/>
      <c r="E65" s="284"/>
      <c r="F65" s="284"/>
      <c r="G65" s="285"/>
      <c r="H65" s="87"/>
    </row>
    <row r="66" spans="1:8" ht="18" customHeight="1" thickBot="1" thickTop="1">
      <c r="A66" s="293"/>
      <c r="B66" s="294"/>
      <c r="C66" s="294"/>
      <c r="D66" s="294"/>
      <c r="E66" s="294"/>
      <c r="F66" s="294"/>
      <c r="G66" s="295"/>
      <c r="H66" s="87"/>
    </row>
    <row r="67" spans="1:8" ht="13.5" thickTop="1">
      <c r="A67" s="92">
        <v>1</v>
      </c>
      <c r="B67" s="93" t="s">
        <v>237</v>
      </c>
      <c r="C67" s="128" t="s">
        <v>142</v>
      </c>
      <c r="D67" s="95" t="s">
        <v>143</v>
      </c>
      <c r="E67" s="96" t="s">
        <v>266</v>
      </c>
      <c r="F67" s="97"/>
      <c r="G67" s="98">
        <f aca="true" t="shared" si="3" ref="G67:G84">A67*F67</f>
        <v>0</v>
      </c>
      <c r="H67" s="87"/>
    </row>
    <row r="68" spans="1:7" s="87" customFormat="1" ht="12.75">
      <c r="A68" s="100">
        <v>4</v>
      </c>
      <c r="B68" s="99" t="s">
        <v>238</v>
      </c>
      <c r="C68" s="128" t="s">
        <v>158</v>
      </c>
      <c r="D68" s="94" t="s">
        <v>159</v>
      </c>
      <c r="E68" s="94" t="s">
        <v>273</v>
      </c>
      <c r="F68" s="101"/>
      <c r="G68" s="102">
        <f t="shared" si="3"/>
        <v>0</v>
      </c>
    </row>
    <row r="69" spans="1:8" s="87" customFormat="1" ht="12.75">
      <c r="A69" s="100">
        <v>2</v>
      </c>
      <c r="B69" s="99" t="s">
        <v>238</v>
      </c>
      <c r="C69" s="128"/>
      <c r="D69" s="94" t="s">
        <v>159</v>
      </c>
      <c r="E69" s="94" t="s">
        <v>273</v>
      </c>
      <c r="F69" s="101"/>
      <c r="G69" s="102">
        <f t="shared" si="3"/>
        <v>0</v>
      </c>
      <c r="H69" s="103"/>
    </row>
    <row r="70" spans="1:7" s="87" customFormat="1" ht="12.75">
      <c r="A70" s="100">
        <v>2</v>
      </c>
      <c r="B70" s="99" t="s">
        <v>238</v>
      </c>
      <c r="C70" s="128" t="s">
        <v>163</v>
      </c>
      <c r="D70" s="94" t="s">
        <v>159</v>
      </c>
      <c r="E70" s="94" t="s">
        <v>239</v>
      </c>
      <c r="F70" s="101"/>
      <c r="G70" s="102">
        <f t="shared" si="3"/>
        <v>0</v>
      </c>
    </row>
    <row r="71" spans="1:7" s="87" customFormat="1" ht="12.75">
      <c r="A71" s="100">
        <v>1</v>
      </c>
      <c r="B71" s="99" t="s">
        <v>238</v>
      </c>
      <c r="C71" s="128" t="s">
        <v>166</v>
      </c>
      <c r="D71" s="94" t="s">
        <v>167</v>
      </c>
      <c r="E71" s="94" t="s">
        <v>240</v>
      </c>
      <c r="F71" s="101"/>
      <c r="G71" s="102">
        <f t="shared" si="3"/>
        <v>0</v>
      </c>
    </row>
    <row r="72" spans="1:8" s="87" customFormat="1" ht="12.75">
      <c r="A72" s="100">
        <v>1</v>
      </c>
      <c r="B72" s="99" t="s">
        <v>238</v>
      </c>
      <c r="C72" s="128"/>
      <c r="D72" s="94" t="s">
        <v>170</v>
      </c>
      <c r="E72" s="94" t="s">
        <v>241</v>
      </c>
      <c r="F72" s="101"/>
      <c r="G72" s="102">
        <f t="shared" si="3"/>
        <v>0</v>
      </c>
      <c r="H72" s="103"/>
    </row>
    <row r="73" spans="1:7" s="87" customFormat="1" ht="12.75">
      <c r="A73" s="100">
        <v>22</v>
      </c>
      <c r="B73" s="99" t="s">
        <v>238</v>
      </c>
      <c r="C73" s="128" t="s">
        <v>173</v>
      </c>
      <c r="D73" s="94" t="s">
        <v>174</v>
      </c>
      <c r="E73" s="94" t="s">
        <v>274</v>
      </c>
      <c r="F73" s="101"/>
      <c r="G73" s="102">
        <f t="shared" si="3"/>
        <v>0</v>
      </c>
    </row>
    <row r="74" spans="1:7" s="87" customFormat="1" ht="12.75">
      <c r="A74" s="100">
        <v>3</v>
      </c>
      <c r="B74" s="99" t="s">
        <v>238</v>
      </c>
      <c r="C74" s="128" t="s">
        <v>178</v>
      </c>
      <c r="D74" s="94" t="s">
        <v>179</v>
      </c>
      <c r="E74" s="111" t="s">
        <v>242</v>
      </c>
      <c r="F74" s="114"/>
      <c r="G74" s="102">
        <f t="shared" si="3"/>
        <v>0</v>
      </c>
    </row>
    <row r="75" spans="1:8" ht="12.75">
      <c r="A75" s="100">
        <v>3</v>
      </c>
      <c r="B75" s="99" t="s">
        <v>238</v>
      </c>
      <c r="C75" s="129" t="s">
        <v>185</v>
      </c>
      <c r="D75" s="94" t="s">
        <v>186</v>
      </c>
      <c r="E75" s="111" t="s">
        <v>187</v>
      </c>
      <c r="F75" s="112"/>
      <c r="G75" s="102">
        <f t="shared" si="3"/>
        <v>0</v>
      </c>
      <c r="H75" s="113"/>
    </row>
    <row r="76" spans="1:8" ht="12.75">
      <c r="A76" s="100">
        <v>2</v>
      </c>
      <c r="B76" s="99" t="s">
        <v>238</v>
      </c>
      <c r="C76" s="129" t="s">
        <v>189</v>
      </c>
      <c r="D76" s="94" t="s">
        <v>186</v>
      </c>
      <c r="E76" s="111" t="s">
        <v>190</v>
      </c>
      <c r="F76" s="112"/>
      <c r="G76" s="102">
        <f t="shared" si="3"/>
        <v>0</v>
      </c>
      <c r="H76" s="113"/>
    </row>
    <row r="77" spans="1:8" ht="12.75">
      <c r="A77" s="100">
        <v>2</v>
      </c>
      <c r="B77" s="99" t="s">
        <v>238</v>
      </c>
      <c r="C77" s="129" t="s">
        <v>192</v>
      </c>
      <c r="D77" s="94" t="s">
        <v>186</v>
      </c>
      <c r="E77" s="111" t="s">
        <v>193</v>
      </c>
      <c r="F77" s="112"/>
      <c r="G77" s="102">
        <f t="shared" si="3"/>
        <v>0</v>
      </c>
      <c r="H77" s="113"/>
    </row>
    <row r="78" spans="1:8" ht="12.75">
      <c r="A78" s="100">
        <v>1</v>
      </c>
      <c r="B78" s="99" t="s">
        <v>238</v>
      </c>
      <c r="C78" s="129" t="s">
        <v>195</v>
      </c>
      <c r="D78" s="94" t="s">
        <v>196</v>
      </c>
      <c r="E78" s="111" t="s">
        <v>243</v>
      </c>
      <c r="F78" s="112"/>
      <c r="G78" s="102">
        <f t="shared" si="3"/>
        <v>0</v>
      </c>
      <c r="H78" s="113"/>
    </row>
    <row r="79" spans="1:7" s="87" customFormat="1" ht="12.75">
      <c r="A79" s="100">
        <v>3</v>
      </c>
      <c r="B79" s="99" t="s">
        <v>238</v>
      </c>
      <c r="C79" s="129" t="s">
        <v>244</v>
      </c>
      <c r="D79" s="94" t="s">
        <v>208</v>
      </c>
      <c r="E79" s="111" t="s">
        <v>209</v>
      </c>
      <c r="F79" s="112"/>
      <c r="G79" s="102">
        <f t="shared" si="3"/>
        <v>0</v>
      </c>
    </row>
    <row r="80" spans="1:7" s="87" customFormat="1" ht="12.75">
      <c r="A80" s="100">
        <v>3</v>
      </c>
      <c r="B80" s="99" t="s">
        <v>238</v>
      </c>
      <c r="C80" s="129" t="s">
        <v>244</v>
      </c>
      <c r="D80" s="94" t="s">
        <v>211</v>
      </c>
      <c r="E80" s="111" t="s">
        <v>212</v>
      </c>
      <c r="F80" s="112"/>
      <c r="G80" s="102">
        <f t="shared" si="3"/>
        <v>0</v>
      </c>
    </row>
    <row r="81" spans="1:7" s="87" customFormat="1" ht="12.75">
      <c r="A81" s="100">
        <v>1</v>
      </c>
      <c r="B81" s="99" t="s">
        <v>238</v>
      </c>
      <c r="C81" s="129" t="s">
        <v>227</v>
      </c>
      <c r="D81" s="94" t="s">
        <v>228</v>
      </c>
      <c r="E81" s="111" t="s">
        <v>229</v>
      </c>
      <c r="F81" s="112"/>
      <c r="G81" s="102">
        <f t="shared" si="3"/>
        <v>0</v>
      </c>
    </row>
    <row r="82" spans="1:7" s="87" customFormat="1" ht="12.75">
      <c r="A82" s="100">
        <v>1</v>
      </c>
      <c r="B82" s="99" t="s">
        <v>238</v>
      </c>
      <c r="C82" s="129" t="s">
        <v>230</v>
      </c>
      <c r="D82" s="94" t="s">
        <v>231</v>
      </c>
      <c r="E82" s="111" t="s">
        <v>232</v>
      </c>
      <c r="F82" s="112"/>
      <c r="G82" s="102">
        <f t="shared" si="3"/>
        <v>0</v>
      </c>
    </row>
    <row r="83" spans="1:7" s="87" customFormat="1" ht="12.75">
      <c r="A83" s="100">
        <v>1</v>
      </c>
      <c r="B83" s="99" t="s">
        <v>238</v>
      </c>
      <c r="C83" s="129" t="s">
        <v>234</v>
      </c>
      <c r="D83" s="94" t="s">
        <v>235</v>
      </c>
      <c r="E83" s="111" t="s">
        <v>236</v>
      </c>
      <c r="F83" s="112"/>
      <c r="G83" s="102">
        <f t="shared" si="3"/>
        <v>0</v>
      </c>
    </row>
    <row r="84" spans="1:8" ht="13.5" customHeight="1">
      <c r="A84" s="100">
        <v>1</v>
      </c>
      <c r="B84" s="89" t="s">
        <v>82</v>
      </c>
      <c r="C84" s="94"/>
      <c r="D84" s="94"/>
      <c r="E84" s="130"/>
      <c r="F84" s="131">
        <v>100</v>
      </c>
      <c r="G84" s="132">
        <f t="shared" si="3"/>
        <v>100</v>
      </c>
      <c r="H84" s="87"/>
    </row>
    <row r="85" spans="1:8" ht="13.5" customHeight="1">
      <c r="A85" s="100"/>
      <c r="B85" s="89"/>
      <c r="C85" s="94"/>
      <c r="D85" s="94"/>
      <c r="E85" s="130"/>
      <c r="F85" s="131"/>
      <c r="G85" s="132"/>
      <c r="H85" s="87"/>
    </row>
    <row r="86" spans="1:8" ht="13.5" customHeight="1">
      <c r="A86" s="100">
        <v>1</v>
      </c>
      <c r="B86" s="99"/>
      <c r="C86" s="94" t="s">
        <v>245</v>
      </c>
      <c r="D86" s="94"/>
      <c r="E86" s="94" t="s">
        <v>275</v>
      </c>
      <c r="F86" s="133">
        <v>30</v>
      </c>
      <c r="G86" s="102">
        <f aca="true" t="shared" si="4" ref="G86:G91">A86*F86</f>
        <v>30</v>
      </c>
      <c r="H86" s="87"/>
    </row>
    <row r="87" spans="1:8" ht="12.75">
      <c r="A87" s="100">
        <v>1</v>
      </c>
      <c r="B87" s="99"/>
      <c r="C87" s="94" t="s">
        <v>247</v>
      </c>
      <c r="D87" s="94"/>
      <c r="E87" s="94" t="s">
        <v>248</v>
      </c>
      <c r="F87" s="133">
        <v>20</v>
      </c>
      <c r="G87" s="102">
        <f t="shared" si="4"/>
        <v>20</v>
      </c>
      <c r="H87" s="87"/>
    </row>
    <row r="88" spans="1:8" ht="12.75">
      <c r="A88" s="100">
        <v>1</v>
      </c>
      <c r="B88" s="99"/>
      <c r="C88" s="94" t="s">
        <v>249</v>
      </c>
      <c r="D88" s="94"/>
      <c r="E88" s="94" t="s">
        <v>250</v>
      </c>
      <c r="F88" s="133">
        <v>15</v>
      </c>
      <c r="G88" s="102">
        <f t="shared" si="4"/>
        <v>15</v>
      </c>
      <c r="H88" s="87"/>
    </row>
    <row r="89" spans="1:7" ht="12.75">
      <c r="A89" s="100">
        <v>1</v>
      </c>
      <c r="B89" s="99"/>
      <c r="C89" s="94" t="s">
        <v>251</v>
      </c>
      <c r="D89" s="94"/>
      <c r="E89" s="94" t="s">
        <v>252</v>
      </c>
      <c r="F89" s="133">
        <v>10</v>
      </c>
      <c r="G89" s="102">
        <f t="shared" si="4"/>
        <v>10</v>
      </c>
    </row>
    <row r="90" spans="1:8" ht="12.75">
      <c r="A90" s="100">
        <v>1</v>
      </c>
      <c r="B90" s="99"/>
      <c r="C90" s="94" t="s">
        <v>253</v>
      </c>
      <c r="D90" s="94"/>
      <c r="E90" s="94" t="s">
        <v>248</v>
      </c>
      <c r="F90" s="133">
        <v>15</v>
      </c>
      <c r="G90" s="102">
        <f t="shared" si="4"/>
        <v>15</v>
      </c>
      <c r="H90" s="103"/>
    </row>
    <row r="91" spans="1:8" ht="12.75">
      <c r="A91" s="205"/>
      <c r="B91" s="99"/>
      <c r="C91" s="94" t="s">
        <v>254</v>
      </c>
      <c r="D91" s="94"/>
      <c r="E91" s="94" t="s">
        <v>252</v>
      </c>
      <c r="F91" s="133">
        <v>15</v>
      </c>
      <c r="G91" s="102">
        <f t="shared" si="4"/>
        <v>0</v>
      </c>
      <c r="H91" s="87"/>
    </row>
    <row r="92" spans="1:8" ht="12.75">
      <c r="A92" s="100"/>
      <c r="B92" s="99"/>
      <c r="C92" s="94"/>
      <c r="D92" s="94"/>
      <c r="E92" s="94"/>
      <c r="F92" s="133"/>
      <c r="G92" s="102"/>
      <c r="H92" s="87"/>
    </row>
    <row r="93" spans="1:8" ht="13.5" thickBot="1">
      <c r="A93" s="100">
        <v>1</v>
      </c>
      <c r="B93" s="99"/>
      <c r="C93" s="94" t="s">
        <v>255</v>
      </c>
      <c r="D93" s="94"/>
      <c r="E93" s="94"/>
      <c r="F93" s="133">
        <v>15</v>
      </c>
      <c r="G93" s="102">
        <f>A93*F93</f>
        <v>15</v>
      </c>
      <c r="H93" s="103"/>
    </row>
    <row r="94" spans="1:7" ht="16.5" thickBot="1">
      <c r="A94" s="116" t="s">
        <v>256</v>
      </c>
      <c r="B94" s="134"/>
      <c r="C94" s="119"/>
      <c r="D94" s="135"/>
      <c r="E94" s="135"/>
      <c r="F94" s="136"/>
      <c r="G94" s="137">
        <f>SUM(G84:G93)</f>
        <v>205</v>
      </c>
    </row>
    <row r="95" spans="1:7" ht="14.25" thickBot="1" thickTop="1">
      <c r="A95" s="138"/>
      <c r="B95" s="138"/>
      <c r="C95" s="124"/>
      <c r="D95" s="124"/>
      <c r="E95" s="124"/>
      <c r="F95" s="126"/>
      <c r="G95" s="126"/>
    </row>
    <row r="96" spans="1:7" ht="19.5" thickBot="1" thickTop="1">
      <c r="A96" s="139" t="s">
        <v>257</v>
      </c>
      <c r="B96" s="140"/>
      <c r="C96" s="141"/>
      <c r="D96" s="141"/>
      <c r="E96" s="141"/>
      <c r="F96" s="142"/>
      <c r="G96" s="143">
        <f>G44+G94</f>
        <v>237.32</v>
      </c>
    </row>
    <row r="97" spans="6:7" ht="13.5" thickTop="1">
      <c r="F97" s="126"/>
      <c r="G97" s="126"/>
    </row>
    <row r="98" spans="1:7" ht="12.75">
      <c r="A98" s="146"/>
      <c r="B98" s="138"/>
      <c r="C98" s="124"/>
      <c r="D98" s="124"/>
      <c r="E98" s="124"/>
      <c r="F98" s="126"/>
      <c r="G98" s="126"/>
    </row>
    <row r="99" spans="1:7" ht="12.75">
      <c r="A99" s="146"/>
      <c r="B99" s="138"/>
      <c r="C99" s="124"/>
      <c r="D99" s="124"/>
      <c r="E99" s="124"/>
      <c r="F99" s="126"/>
      <c r="G99" s="126"/>
    </row>
    <row r="100" spans="1:7" ht="12.75">
      <c r="A100" s="138"/>
      <c r="B100" s="138"/>
      <c r="C100" s="124"/>
      <c r="D100" s="124"/>
      <c r="E100" s="124"/>
      <c r="F100" s="126"/>
      <c r="G100" s="126"/>
    </row>
    <row r="101" spans="1:7" ht="12.75">
      <c r="A101" s="138"/>
      <c r="B101" s="138"/>
      <c r="C101" s="124"/>
      <c r="D101" s="124"/>
      <c r="E101" s="124"/>
      <c r="F101" s="126"/>
      <c r="G101" s="126"/>
    </row>
    <row r="102" spans="1:7" ht="12.75">
      <c r="A102" s="138"/>
      <c r="B102" s="138"/>
      <c r="C102" s="124"/>
      <c r="D102" s="124"/>
      <c r="E102" s="124"/>
      <c r="F102" s="126"/>
      <c r="G102" s="126"/>
    </row>
    <row r="103" spans="1:7" ht="12.75">
      <c r="A103" s="138"/>
      <c r="B103" s="138"/>
      <c r="C103" s="124"/>
      <c r="D103" s="124"/>
      <c r="E103" s="124"/>
      <c r="F103" s="126"/>
      <c r="G103" s="126"/>
    </row>
    <row r="104" spans="1:7" ht="12.75">
      <c r="A104" s="138"/>
      <c r="B104" s="138"/>
      <c r="C104" s="124"/>
      <c r="D104" s="124"/>
      <c r="E104" s="124"/>
      <c r="F104" s="126"/>
      <c r="G104" s="126"/>
    </row>
    <row r="105" spans="1:7" ht="12.75">
      <c r="A105" s="138"/>
      <c r="B105" s="138"/>
      <c r="C105" s="147"/>
      <c r="D105" s="124"/>
      <c r="E105" s="124"/>
      <c r="F105" s="126"/>
      <c r="G105" s="126"/>
    </row>
    <row r="106" spans="1:7" ht="12.75">
      <c r="A106" s="138"/>
      <c r="B106" s="138"/>
      <c r="C106" s="147"/>
      <c r="D106" s="125"/>
      <c r="E106" s="125"/>
      <c r="F106" s="126"/>
      <c r="G106" s="126"/>
    </row>
    <row r="107" spans="1:7" ht="12.75">
      <c r="A107" s="138"/>
      <c r="B107" s="138"/>
      <c r="C107" s="124"/>
      <c r="D107" s="124"/>
      <c r="E107" s="124"/>
      <c r="F107" s="126"/>
      <c r="G107" s="126"/>
    </row>
    <row r="108" spans="1:7" ht="12.75">
      <c r="A108" s="138"/>
      <c r="B108" s="138"/>
      <c r="C108" s="124"/>
      <c r="D108" s="124"/>
      <c r="E108" s="124"/>
      <c r="F108" s="126"/>
      <c r="G108" s="126"/>
    </row>
    <row r="109" spans="1:7" ht="12.75">
      <c r="A109" s="138"/>
      <c r="B109" s="138"/>
      <c r="C109" s="124"/>
      <c r="D109" s="124"/>
      <c r="E109" s="124"/>
      <c r="F109" s="126"/>
      <c r="G109" s="126"/>
    </row>
    <row r="110" spans="1:7" ht="12.75">
      <c r="A110" s="138"/>
      <c r="B110" s="138"/>
      <c r="C110" s="124"/>
      <c r="D110" s="124"/>
      <c r="E110" s="124"/>
      <c r="F110" s="126"/>
      <c r="G110" s="126"/>
    </row>
    <row r="111" spans="1:7" ht="12.75">
      <c r="A111" s="138"/>
      <c r="B111" s="138"/>
      <c r="C111" s="124"/>
      <c r="D111" s="124"/>
      <c r="E111" s="124"/>
      <c r="F111" s="126"/>
      <c r="G111" s="126"/>
    </row>
    <row r="112" spans="1:7" ht="12.75">
      <c r="A112" s="138"/>
      <c r="B112" s="138"/>
      <c r="C112" s="124"/>
      <c r="D112" s="124"/>
      <c r="E112" s="124"/>
      <c r="F112" s="126"/>
      <c r="G112" s="126"/>
    </row>
    <row r="113" spans="1:7" ht="12.75">
      <c r="A113" s="138"/>
      <c r="B113" s="138"/>
      <c r="C113" s="124"/>
      <c r="D113" s="124"/>
      <c r="E113" s="124"/>
      <c r="F113" s="126"/>
      <c r="G113" s="126"/>
    </row>
    <row r="114" spans="1:7" ht="12.75">
      <c r="A114" s="138"/>
      <c r="B114" s="138"/>
      <c r="C114" s="124"/>
      <c r="D114" s="124"/>
      <c r="E114" s="124"/>
      <c r="F114" s="126"/>
      <c r="G114" s="126"/>
    </row>
    <row r="115" spans="1:7" ht="12.75">
      <c r="A115" s="138"/>
      <c r="B115" s="138"/>
      <c r="C115" s="124"/>
      <c r="D115" s="124"/>
      <c r="E115" s="124"/>
      <c r="F115" s="126"/>
      <c r="G115" s="126"/>
    </row>
    <row r="116" spans="1:7" ht="12.75">
      <c r="A116" s="138"/>
      <c r="B116" s="138"/>
      <c r="C116" s="124"/>
      <c r="D116" s="124"/>
      <c r="E116" s="124"/>
      <c r="F116" s="126"/>
      <c r="G116" s="126"/>
    </row>
    <row r="117" spans="1:7" ht="12.75">
      <c r="A117" s="138"/>
      <c r="B117" s="138"/>
      <c r="C117" s="124"/>
      <c r="D117" s="124"/>
      <c r="E117" s="124"/>
      <c r="F117" s="126"/>
      <c r="G117" s="126"/>
    </row>
    <row r="118" spans="1:7" ht="12.75">
      <c r="A118" s="138"/>
      <c r="B118" s="138"/>
      <c r="C118" s="124"/>
      <c r="D118" s="124"/>
      <c r="E118" s="124"/>
      <c r="F118" s="126"/>
      <c r="G118" s="126"/>
    </row>
    <row r="119" spans="1:7" ht="12.75">
      <c r="A119" s="138"/>
      <c r="B119" s="138"/>
      <c r="C119" s="124"/>
      <c r="D119" s="124"/>
      <c r="E119" s="124"/>
      <c r="F119" s="126"/>
      <c r="G119" s="126"/>
    </row>
    <row r="120" spans="1:7" ht="12.75">
      <c r="A120" s="138"/>
      <c r="B120" s="138"/>
      <c r="C120" s="124"/>
      <c r="D120" s="124"/>
      <c r="E120" s="124"/>
      <c r="F120" s="126"/>
      <c r="G120" s="126"/>
    </row>
    <row r="121" spans="1:7" ht="12.75">
      <c r="A121" s="138"/>
      <c r="B121" s="138"/>
      <c r="C121" s="124"/>
      <c r="D121" s="124"/>
      <c r="E121" s="124"/>
      <c r="F121" s="126"/>
      <c r="G121" s="126"/>
    </row>
    <row r="122" spans="1:7" ht="12.75">
      <c r="A122" s="138"/>
      <c r="B122" s="138"/>
      <c r="C122" s="124"/>
      <c r="D122" s="124"/>
      <c r="E122" s="124"/>
      <c r="F122" s="126"/>
      <c r="G122" s="126"/>
    </row>
    <row r="123" spans="1:7" ht="12.75">
      <c r="A123" s="138"/>
      <c r="B123" s="138"/>
      <c r="C123" s="124"/>
      <c r="D123" s="124"/>
      <c r="E123" s="124"/>
      <c r="F123" s="126"/>
      <c r="G123" s="126"/>
    </row>
    <row r="124" spans="1:7" ht="12.75">
      <c r="A124" s="138"/>
      <c r="B124" s="138"/>
      <c r="C124" s="124"/>
      <c r="D124" s="124"/>
      <c r="E124" s="124"/>
      <c r="F124" s="126"/>
      <c r="G124" s="126"/>
    </row>
    <row r="125" spans="1:7" ht="12.75">
      <c r="A125" s="138"/>
      <c r="B125" s="138"/>
      <c r="C125" s="124"/>
      <c r="D125" s="124"/>
      <c r="E125" s="124"/>
      <c r="F125" s="126"/>
      <c r="G125" s="126"/>
    </row>
    <row r="126" spans="1:7" ht="12.75">
      <c r="A126" s="138"/>
      <c r="B126" s="138"/>
      <c r="C126" s="124"/>
      <c r="D126" s="124"/>
      <c r="E126" s="124"/>
      <c r="F126" s="126"/>
      <c r="G126" s="148"/>
    </row>
    <row r="127" spans="1:7" ht="12.75">
      <c r="A127" s="138"/>
      <c r="B127" s="138"/>
      <c r="C127" s="124"/>
      <c r="D127" s="149"/>
      <c r="E127" s="149"/>
      <c r="F127" s="149"/>
      <c r="G127" s="149"/>
    </row>
    <row r="128" spans="1:7" ht="12.75">
      <c r="A128" s="138"/>
      <c r="B128" s="138"/>
      <c r="C128" s="124"/>
      <c r="D128" s="124"/>
      <c r="E128" s="124"/>
      <c r="F128" s="126"/>
      <c r="G128" s="126"/>
    </row>
    <row r="129" spans="1:7" ht="12.75">
      <c r="A129" s="138"/>
      <c r="B129" s="138"/>
      <c r="C129" s="124"/>
      <c r="D129" s="124"/>
      <c r="E129" s="124"/>
      <c r="F129" s="126"/>
      <c r="G129" s="126"/>
    </row>
    <row r="130" spans="1:7" ht="12.75">
      <c r="A130" s="138"/>
      <c r="B130" s="138"/>
      <c r="C130" s="124"/>
      <c r="D130" s="124"/>
      <c r="E130" s="124"/>
      <c r="F130" s="126"/>
      <c r="G130" s="126"/>
    </row>
    <row r="131" spans="1:7" ht="12.75">
      <c r="A131" s="138"/>
      <c r="B131" s="138"/>
      <c r="C131" s="124"/>
      <c r="D131" s="124"/>
      <c r="E131" s="124"/>
      <c r="F131" s="126"/>
      <c r="G131" s="126"/>
    </row>
    <row r="132" spans="1:7" ht="12.75">
      <c r="A132" s="138"/>
      <c r="B132" s="138"/>
      <c r="C132" s="124"/>
      <c r="D132" s="124"/>
      <c r="E132" s="124"/>
      <c r="F132" s="126"/>
      <c r="G132" s="126"/>
    </row>
    <row r="133" spans="1:7" ht="12.75">
      <c r="A133" s="138"/>
      <c r="B133" s="138"/>
      <c r="C133" s="124"/>
      <c r="D133" s="124"/>
      <c r="E133" s="124"/>
      <c r="F133" s="126"/>
      <c r="G133" s="126"/>
    </row>
    <row r="134" spans="1:7" ht="12.75">
      <c r="A134" s="138"/>
      <c r="B134" s="138"/>
      <c r="C134" s="124"/>
      <c r="D134" s="124"/>
      <c r="E134" s="124"/>
      <c r="F134" s="126"/>
      <c r="G134" s="126"/>
    </row>
    <row r="135" spans="1:7" ht="12.75">
      <c r="A135" s="138"/>
      <c r="B135" s="138"/>
      <c r="C135" s="124"/>
      <c r="D135" s="124"/>
      <c r="E135" s="124"/>
      <c r="F135" s="126"/>
      <c r="G135" s="126"/>
    </row>
    <row r="136" spans="1:7" ht="12.75">
      <c r="A136" s="138"/>
      <c r="B136" s="138"/>
      <c r="C136" s="124"/>
      <c r="D136" s="124"/>
      <c r="E136" s="124"/>
      <c r="F136" s="126"/>
      <c r="G136" s="126"/>
    </row>
    <row r="137" spans="1:7" ht="12.75">
      <c r="A137" s="138"/>
      <c r="B137" s="138"/>
      <c r="C137" s="124"/>
      <c r="D137" s="124"/>
      <c r="E137" s="124"/>
      <c r="F137" s="126"/>
      <c r="G137" s="126"/>
    </row>
    <row r="138" spans="1:7" ht="12.75">
      <c r="A138" s="138"/>
      <c r="B138" s="138"/>
      <c r="C138" s="124"/>
      <c r="D138" s="124"/>
      <c r="E138" s="124"/>
      <c r="F138" s="126"/>
      <c r="G138" s="126"/>
    </row>
    <row r="139" spans="1:7" ht="12.75">
      <c r="A139" s="138"/>
      <c r="B139" s="138"/>
      <c r="C139" s="124"/>
      <c r="D139" s="124"/>
      <c r="E139" s="124"/>
      <c r="F139" s="126"/>
      <c r="G139" s="126"/>
    </row>
    <row r="140" spans="1:7" ht="12.75">
      <c r="A140" s="138"/>
      <c r="B140" s="138"/>
      <c r="C140" s="124"/>
      <c r="D140" s="124"/>
      <c r="E140" s="124"/>
      <c r="F140" s="126"/>
      <c r="G140" s="126"/>
    </row>
    <row r="141" spans="1:7" ht="12.75">
      <c r="A141" s="138"/>
      <c r="B141" s="138"/>
      <c r="C141" s="124"/>
      <c r="D141" s="124"/>
      <c r="E141" s="124"/>
      <c r="F141" s="126"/>
      <c r="G141" s="126"/>
    </row>
    <row r="142" spans="1:7" ht="12.75">
      <c r="A142" s="138"/>
      <c r="B142" s="138"/>
      <c r="C142" s="124"/>
      <c r="D142" s="124"/>
      <c r="E142" s="124"/>
      <c r="F142" s="126"/>
      <c r="G142" s="126"/>
    </row>
    <row r="143" spans="1:7" ht="12.75">
      <c r="A143" s="138"/>
      <c r="B143" s="138"/>
      <c r="C143" s="124"/>
      <c r="D143" s="124"/>
      <c r="E143" s="124"/>
      <c r="F143" s="126"/>
      <c r="G143" s="126"/>
    </row>
  </sheetData>
  <mergeCells count="13">
    <mergeCell ref="A65:G65"/>
    <mergeCell ref="A66:G66"/>
    <mergeCell ref="A63:C63"/>
    <mergeCell ref="D63:G63"/>
    <mergeCell ref="A64:C64"/>
    <mergeCell ref="D64:G64"/>
    <mergeCell ref="A62:G62"/>
    <mergeCell ref="A4:G4"/>
    <mergeCell ref="A1:G1"/>
    <mergeCell ref="A2:C2"/>
    <mergeCell ref="D2:G2"/>
    <mergeCell ref="A3:C3"/>
    <mergeCell ref="D3:G3"/>
  </mergeCells>
  <printOptions/>
  <pageMargins left="0.75" right="0.75" top="1" bottom="1" header="0.5" footer="0.5"/>
  <pageSetup horizontalDpi="409" verticalDpi="40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zoomScale="75" zoomScaleNormal="75" workbookViewId="0" topLeftCell="A1">
      <selection activeCell="A1" sqref="A1:H67"/>
    </sheetView>
  </sheetViews>
  <sheetFormatPr defaultColWidth="9.140625" defaultRowHeight="12.75"/>
  <cols>
    <col min="1" max="1" width="5.28125" style="144" customWidth="1"/>
    <col min="2" max="2" width="15.7109375" style="144" customWidth="1"/>
    <col min="3" max="3" width="33.8515625" style="145" customWidth="1"/>
    <col min="4" max="4" width="30.140625" style="145" customWidth="1"/>
    <col min="5" max="5" width="29.421875" style="145" customWidth="1"/>
    <col min="6" max="6" width="12.7109375" style="150" customWidth="1"/>
    <col min="7" max="7" width="17.00390625" style="150" customWidth="1"/>
    <col min="8" max="8" width="17.8515625" style="0" customWidth="1"/>
    <col min="9" max="9" width="26.8515625" style="0" customWidth="1"/>
  </cols>
  <sheetData>
    <row r="1" spans="1:8" ht="17.25" customHeight="1" thickTop="1">
      <c r="A1" s="280" t="s">
        <v>131</v>
      </c>
      <c r="B1" s="281"/>
      <c r="C1" s="281"/>
      <c r="D1" s="281"/>
      <c r="E1" s="281"/>
      <c r="F1" s="281"/>
      <c r="G1" s="282"/>
      <c r="H1" s="87"/>
    </row>
    <row r="2" spans="1:8" ht="12.75">
      <c r="A2" s="286" t="s">
        <v>132</v>
      </c>
      <c r="B2" s="287"/>
      <c r="C2" s="287"/>
      <c r="D2" s="287" t="s">
        <v>133</v>
      </c>
      <c r="E2" s="287"/>
      <c r="F2" s="287"/>
      <c r="G2" s="288"/>
      <c r="H2" s="87"/>
    </row>
    <row r="3" spans="1:8" ht="12.75">
      <c r="A3" s="289" t="s">
        <v>134</v>
      </c>
      <c r="B3" s="290"/>
      <c r="C3" s="290"/>
      <c r="D3" s="291"/>
      <c r="E3" s="291"/>
      <c r="F3" s="291"/>
      <c r="G3" s="292"/>
      <c r="H3" s="87"/>
    </row>
    <row r="4" spans="1:8" ht="18" customHeight="1">
      <c r="A4" s="283" t="s">
        <v>135</v>
      </c>
      <c r="B4" s="284"/>
      <c r="C4" s="284"/>
      <c r="D4" s="284"/>
      <c r="E4" s="284"/>
      <c r="F4" s="284"/>
      <c r="G4" s="285"/>
      <c r="H4" s="87" t="s">
        <v>338</v>
      </c>
    </row>
    <row r="5" spans="1:8" ht="15.75" customHeight="1">
      <c r="A5" s="88" t="s">
        <v>136</v>
      </c>
      <c r="B5" s="89" t="s">
        <v>137</v>
      </c>
      <c r="C5" s="89"/>
      <c r="D5" s="89" t="s">
        <v>138</v>
      </c>
      <c r="E5" s="89"/>
      <c r="F5" s="90" t="s">
        <v>139</v>
      </c>
      <c r="G5" s="91" t="s">
        <v>140</v>
      </c>
      <c r="H5" s="87"/>
    </row>
    <row r="6" spans="1:8" ht="12.75" customHeight="1">
      <c r="A6" s="88"/>
      <c r="B6" s="89"/>
      <c r="C6" s="89"/>
      <c r="D6" s="89"/>
      <c r="E6" s="89"/>
      <c r="F6" s="90"/>
      <c r="G6" s="91"/>
      <c r="H6" s="87"/>
    </row>
    <row r="7" spans="1:8" ht="12.75">
      <c r="A7" s="178">
        <v>1</v>
      </c>
      <c r="B7" s="179" t="s">
        <v>141</v>
      </c>
      <c r="C7" s="165" t="s">
        <v>142</v>
      </c>
      <c r="D7" s="176" t="s">
        <v>143</v>
      </c>
      <c r="E7" s="182" t="s">
        <v>144</v>
      </c>
      <c r="F7" s="177">
        <v>12</v>
      </c>
      <c r="G7" s="174">
        <f aca="true" t="shared" si="0" ref="G7:G23">A7*F7</f>
        <v>12</v>
      </c>
      <c r="H7" s="87"/>
    </row>
    <row r="8" spans="1:8" ht="12.75">
      <c r="A8" s="178">
        <v>2</v>
      </c>
      <c r="B8" s="179" t="s">
        <v>145</v>
      </c>
      <c r="C8" s="165"/>
      <c r="D8" s="176" t="s">
        <v>146</v>
      </c>
      <c r="E8" s="182"/>
      <c r="F8" s="177">
        <v>0.13</v>
      </c>
      <c r="G8" s="174">
        <f t="shared" si="0"/>
        <v>0.26</v>
      </c>
      <c r="H8" s="87"/>
    </row>
    <row r="9" spans="1:8" ht="12.75">
      <c r="A9" s="178">
        <v>2</v>
      </c>
      <c r="B9" s="179" t="s">
        <v>147</v>
      </c>
      <c r="C9" s="165"/>
      <c r="D9" s="176" t="s">
        <v>148</v>
      </c>
      <c r="E9" s="182"/>
      <c r="F9" s="177">
        <v>0.03</v>
      </c>
      <c r="G9" s="174">
        <f t="shared" si="0"/>
        <v>0.06</v>
      </c>
      <c r="H9" s="87"/>
    </row>
    <row r="10" spans="1:8" s="16" customFormat="1" ht="12.75">
      <c r="A10" s="178">
        <v>2</v>
      </c>
      <c r="B10" s="179" t="s">
        <v>149</v>
      </c>
      <c r="C10" s="165"/>
      <c r="D10" s="176" t="s">
        <v>150</v>
      </c>
      <c r="E10" s="182" t="s">
        <v>151</v>
      </c>
      <c r="F10" s="177">
        <v>5</v>
      </c>
      <c r="G10" s="174">
        <f t="shared" si="0"/>
        <v>10</v>
      </c>
      <c r="H10" s="156"/>
    </row>
    <row r="11" spans="1:8" ht="12.75">
      <c r="A11" s="178">
        <v>1</v>
      </c>
      <c r="B11" s="168" t="s">
        <v>152</v>
      </c>
      <c r="C11" s="165"/>
      <c r="D11" s="165" t="s">
        <v>153</v>
      </c>
      <c r="E11" s="182"/>
      <c r="F11" s="177">
        <v>2</v>
      </c>
      <c r="G11" s="174">
        <f t="shared" si="0"/>
        <v>2</v>
      </c>
      <c r="H11" s="87"/>
    </row>
    <row r="12" spans="1:8" ht="12.75">
      <c r="A12" s="178">
        <v>6</v>
      </c>
      <c r="B12" s="168" t="s">
        <v>152</v>
      </c>
      <c r="C12" s="165"/>
      <c r="D12" s="165" t="s">
        <v>154</v>
      </c>
      <c r="E12" s="182"/>
      <c r="F12" s="177">
        <v>0.02</v>
      </c>
      <c r="G12" s="174">
        <f t="shared" si="0"/>
        <v>0.12</v>
      </c>
      <c r="H12" s="87"/>
    </row>
    <row r="13" spans="1:8" ht="12.75">
      <c r="A13" s="178">
        <v>6</v>
      </c>
      <c r="B13" s="179" t="s">
        <v>155</v>
      </c>
      <c r="C13" s="165"/>
      <c r="D13" s="176" t="s">
        <v>156</v>
      </c>
      <c r="E13" s="182"/>
      <c r="F13" s="177">
        <v>0.04</v>
      </c>
      <c r="G13" s="174">
        <f t="shared" si="0"/>
        <v>0.24</v>
      </c>
      <c r="H13" s="87"/>
    </row>
    <row r="14" spans="1:7" s="87" customFormat="1" ht="12.75">
      <c r="A14" s="162">
        <v>4</v>
      </c>
      <c r="B14" s="168" t="s">
        <v>157</v>
      </c>
      <c r="C14" s="183" t="s">
        <v>158</v>
      </c>
      <c r="D14" s="165" t="s">
        <v>159</v>
      </c>
      <c r="E14" s="165" t="s">
        <v>160</v>
      </c>
      <c r="F14" s="169">
        <v>0.5</v>
      </c>
      <c r="G14" s="167">
        <f t="shared" si="0"/>
        <v>2</v>
      </c>
    </row>
    <row r="15" spans="1:7" s="87" customFormat="1" ht="12.75">
      <c r="A15" s="162">
        <v>4</v>
      </c>
      <c r="B15" s="168" t="s">
        <v>152</v>
      </c>
      <c r="C15" s="165"/>
      <c r="D15" s="165" t="s">
        <v>161</v>
      </c>
      <c r="E15" s="165"/>
      <c r="F15" s="169">
        <v>0.02</v>
      </c>
      <c r="G15" s="167">
        <f t="shared" si="0"/>
        <v>0.08</v>
      </c>
    </row>
    <row r="16" spans="1:8" s="87" customFormat="1" ht="12.75">
      <c r="A16" s="162">
        <v>2</v>
      </c>
      <c r="B16" s="168" t="s">
        <v>157</v>
      </c>
      <c r="C16" s="165"/>
      <c r="D16" s="165" t="s">
        <v>159</v>
      </c>
      <c r="E16" s="165" t="s">
        <v>160</v>
      </c>
      <c r="F16" s="169">
        <v>0.5</v>
      </c>
      <c r="G16" s="167">
        <f t="shared" si="0"/>
        <v>1</v>
      </c>
      <c r="H16" s="103"/>
    </row>
    <row r="17" spans="1:7" s="87" customFormat="1" ht="12.75">
      <c r="A17" s="162">
        <v>2</v>
      </c>
      <c r="B17" s="168" t="s">
        <v>162</v>
      </c>
      <c r="C17" s="183" t="s">
        <v>163</v>
      </c>
      <c r="D17" s="165" t="s">
        <v>159</v>
      </c>
      <c r="E17" s="165" t="s">
        <v>164</v>
      </c>
      <c r="F17" s="169">
        <v>0.02</v>
      </c>
      <c r="G17" s="167">
        <f t="shared" si="0"/>
        <v>0.04</v>
      </c>
    </row>
    <row r="18" spans="1:7" s="87" customFormat="1" ht="12.75">
      <c r="A18" s="162">
        <v>1</v>
      </c>
      <c r="B18" s="168" t="s">
        <v>165</v>
      </c>
      <c r="C18" s="183" t="s">
        <v>166</v>
      </c>
      <c r="D18" s="165" t="s">
        <v>167</v>
      </c>
      <c r="E18" s="165" t="s">
        <v>168</v>
      </c>
      <c r="F18" s="169">
        <v>0.03</v>
      </c>
      <c r="G18" s="167">
        <f t="shared" si="0"/>
        <v>0.03</v>
      </c>
    </row>
    <row r="19" spans="1:8" s="87" customFormat="1" ht="12.75">
      <c r="A19" s="162">
        <v>1</v>
      </c>
      <c r="B19" s="168" t="s">
        <v>169</v>
      </c>
      <c r="C19" s="183"/>
      <c r="D19" s="165" t="s">
        <v>170</v>
      </c>
      <c r="E19" s="165" t="s">
        <v>171</v>
      </c>
      <c r="F19" s="169">
        <v>3</v>
      </c>
      <c r="G19" s="167">
        <f t="shared" si="0"/>
        <v>3</v>
      </c>
      <c r="H19" s="103"/>
    </row>
    <row r="20" spans="1:8" s="156" customFormat="1" ht="12.75">
      <c r="A20" s="162">
        <v>6</v>
      </c>
      <c r="B20" s="168" t="s">
        <v>172</v>
      </c>
      <c r="C20" s="183" t="s">
        <v>173</v>
      </c>
      <c r="D20" s="165" t="s">
        <v>174</v>
      </c>
      <c r="E20" s="165" t="s">
        <v>175</v>
      </c>
      <c r="F20" s="169">
        <v>0.12</v>
      </c>
      <c r="G20" s="167">
        <f t="shared" si="0"/>
        <v>0.72</v>
      </c>
      <c r="H20" s="156" t="s">
        <v>336</v>
      </c>
    </row>
    <row r="21" spans="1:8" s="156" customFormat="1" ht="12.75">
      <c r="A21" s="162">
        <v>183</v>
      </c>
      <c r="B21" s="168" t="s">
        <v>172</v>
      </c>
      <c r="C21" s="183"/>
      <c r="D21" s="165" t="s">
        <v>174</v>
      </c>
      <c r="E21" s="165" t="s">
        <v>176</v>
      </c>
      <c r="F21" s="169">
        <v>0.19</v>
      </c>
      <c r="G21" s="167">
        <f t="shared" si="0"/>
        <v>34.77</v>
      </c>
      <c r="H21" s="196" t="s">
        <v>336</v>
      </c>
    </row>
    <row r="22" spans="1:8" s="156" customFormat="1" ht="14.25">
      <c r="A22" s="162">
        <v>61</v>
      </c>
      <c r="B22" s="168" t="s">
        <v>177</v>
      </c>
      <c r="C22" s="183" t="s">
        <v>178</v>
      </c>
      <c r="D22" s="165" t="s">
        <v>179</v>
      </c>
      <c r="E22" s="164" t="s">
        <v>337</v>
      </c>
      <c r="F22" s="166">
        <v>0.192</v>
      </c>
      <c r="G22" s="167">
        <f t="shared" si="0"/>
        <v>11.712</v>
      </c>
      <c r="H22" s="156" t="s">
        <v>336</v>
      </c>
    </row>
    <row r="23" spans="1:8" s="156" customFormat="1" ht="12.75">
      <c r="A23" s="162">
        <v>2</v>
      </c>
      <c r="B23" s="168" t="s">
        <v>152</v>
      </c>
      <c r="C23" s="183" t="s">
        <v>180</v>
      </c>
      <c r="D23" s="165" t="s">
        <v>335</v>
      </c>
      <c r="E23" s="165"/>
      <c r="F23" s="169">
        <v>20</v>
      </c>
      <c r="G23" s="167">
        <f t="shared" si="0"/>
        <v>40</v>
      </c>
      <c r="H23" s="156" t="s">
        <v>336</v>
      </c>
    </row>
    <row r="24" spans="1:8" s="156" customFormat="1" ht="12.75">
      <c r="A24" s="162">
        <v>1</v>
      </c>
      <c r="B24" s="168" t="s">
        <v>152</v>
      </c>
      <c r="C24" s="165" t="s">
        <v>182</v>
      </c>
      <c r="D24" s="165" t="s">
        <v>183</v>
      </c>
      <c r="E24" s="165"/>
      <c r="F24" s="169">
        <v>2</v>
      </c>
      <c r="G24" s="167">
        <f aca="true" t="shared" si="1" ref="G24:G35">A24*F24</f>
        <v>2</v>
      </c>
      <c r="H24" s="196"/>
    </row>
    <row r="25" spans="1:8" s="156" customFormat="1" ht="12.75">
      <c r="A25" s="162">
        <v>2</v>
      </c>
      <c r="B25" s="168" t="s">
        <v>152</v>
      </c>
      <c r="C25" s="164"/>
      <c r="D25" s="165" t="s">
        <v>184</v>
      </c>
      <c r="E25" s="164"/>
      <c r="F25" s="166">
        <v>22</v>
      </c>
      <c r="G25" s="167">
        <f t="shared" si="1"/>
        <v>44</v>
      </c>
      <c r="H25" s="196" t="s">
        <v>336</v>
      </c>
    </row>
    <row r="26" spans="1:8" ht="12.75">
      <c r="A26" s="162">
        <v>3</v>
      </c>
      <c r="B26" s="163" t="s">
        <v>162</v>
      </c>
      <c r="C26" s="181" t="s">
        <v>185</v>
      </c>
      <c r="D26" s="165" t="s">
        <v>186</v>
      </c>
      <c r="E26" s="164" t="s">
        <v>187</v>
      </c>
      <c r="F26" s="166">
        <v>0.05</v>
      </c>
      <c r="G26" s="167">
        <f t="shared" si="1"/>
        <v>0.15000000000000002</v>
      </c>
      <c r="H26" s="113"/>
    </row>
    <row r="27" spans="1:8" ht="12.75">
      <c r="A27" s="162">
        <v>2</v>
      </c>
      <c r="B27" s="163" t="s">
        <v>188</v>
      </c>
      <c r="C27" s="181" t="s">
        <v>189</v>
      </c>
      <c r="D27" s="165" t="s">
        <v>186</v>
      </c>
      <c r="E27" s="164" t="s">
        <v>190</v>
      </c>
      <c r="F27" s="166">
        <v>0.1</v>
      </c>
      <c r="G27" s="167">
        <f t="shared" si="1"/>
        <v>0.2</v>
      </c>
      <c r="H27" s="113"/>
    </row>
    <row r="28" spans="1:8" ht="12.75">
      <c r="A28" s="162">
        <v>2</v>
      </c>
      <c r="B28" s="163" t="s">
        <v>191</v>
      </c>
      <c r="C28" s="181" t="s">
        <v>192</v>
      </c>
      <c r="D28" s="165" t="s">
        <v>186</v>
      </c>
      <c r="E28" s="164" t="s">
        <v>193</v>
      </c>
      <c r="F28" s="166">
        <v>0.2</v>
      </c>
      <c r="G28" s="167">
        <f t="shared" si="1"/>
        <v>0.4</v>
      </c>
      <c r="H28" s="113"/>
    </row>
    <row r="29" spans="1:8" ht="13.5" thickBot="1">
      <c r="A29" s="162">
        <v>1</v>
      </c>
      <c r="B29" s="163" t="s">
        <v>194</v>
      </c>
      <c r="C29" s="181" t="s">
        <v>195</v>
      </c>
      <c r="D29" s="165" t="s">
        <v>196</v>
      </c>
      <c r="E29" s="164" t="s">
        <v>197</v>
      </c>
      <c r="F29" s="166">
        <v>3</v>
      </c>
      <c r="G29" s="167">
        <f t="shared" si="1"/>
        <v>3</v>
      </c>
      <c r="H29" s="113"/>
    </row>
    <row r="30" spans="1:8" ht="16.5" thickBot="1">
      <c r="A30" s="116" t="s">
        <v>262</v>
      </c>
      <c r="B30" s="117"/>
      <c r="C30" s="118"/>
      <c r="D30" s="119"/>
      <c r="E30" s="119"/>
      <c r="F30" s="120"/>
      <c r="G30" s="121">
        <f>SUM(G8:G10,G11:G19,G26:G29,G20:G25)</f>
        <v>155.78199999999998</v>
      </c>
      <c r="H30" s="87"/>
    </row>
    <row r="31" spans="1:8" ht="13.5" thickTop="1">
      <c r="A31" s="100"/>
      <c r="B31" s="110"/>
      <c r="C31" s="111"/>
      <c r="D31" s="94"/>
      <c r="E31" s="111"/>
      <c r="F31" s="114"/>
      <c r="G31" s="102"/>
      <c r="H31" s="113"/>
    </row>
    <row r="32" spans="1:7" s="87" customFormat="1" ht="12.75">
      <c r="A32" s="162">
        <v>2</v>
      </c>
      <c r="B32" s="163" t="s">
        <v>198</v>
      </c>
      <c r="C32" s="164" t="s">
        <v>199</v>
      </c>
      <c r="D32" s="165" t="s">
        <v>200</v>
      </c>
      <c r="E32" s="164"/>
      <c r="F32" s="166">
        <v>0.06</v>
      </c>
      <c r="G32" s="167">
        <f t="shared" si="1"/>
        <v>0.12</v>
      </c>
    </row>
    <row r="33" spans="1:7" s="87" customFormat="1" ht="12.75">
      <c r="A33" s="162">
        <v>3</v>
      </c>
      <c r="B33" s="163" t="s">
        <v>201</v>
      </c>
      <c r="C33" s="164"/>
      <c r="D33" s="165" t="s">
        <v>202</v>
      </c>
      <c r="E33" s="164"/>
      <c r="F33" s="166">
        <v>0.02</v>
      </c>
      <c r="G33" s="167">
        <f t="shared" si="1"/>
        <v>0.06</v>
      </c>
    </row>
    <row r="34" spans="1:7" s="87" customFormat="1" ht="12.75">
      <c r="A34" s="162">
        <v>6</v>
      </c>
      <c r="B34" s="163" t="s">
        <v>155</v>
      </c>
      <c r="C34" s="164"/>
      <c r="D34" s="165" t="s">
        <v>203</v>
      </c>
      <c r="E34" s="164"/>
      <c r="F34" s="166">
        <v>0.04</v>
      </c>
      <c r="G34" s="167">
        <f t="shared" si="1"/>
        <v>0.24</v>
      </c>
    </row>
    <row r="35" spans="1:7" s="156" customFormat="1" ht="12.75">
      <c r="A35" s="162">
        <v>1</v>
      </c>
      <c r="B35" s="168" t="s">
        <v>204</v>
      </c>
      <c r="C35" s="165"/>
      <c r="D35" s="165" t="s">
        <v>205</v>
      </c>
      <c r="E35" s="165" t="s">
        <v>206</v>
      </c>
      <c r="F35" s="169">
        <v>0.1</v>
      </c>
      <c r="G35" s="167">
        <f t="shared" si="1"/>
        <v>0.1</v>
      </c>
    </row>
    <row r="36" spans="1:7" s="87" customFormat="1" ht="12.75">
      <c r="A36" s="162">
        <v>3</v>
      </c>
      <c r="B36" s="163" t="s">
        <v>207</v>
      </c>
      <c r="C36" s="164"/>
      <c r="D36" s="165" t="s">
        <v>208</v>
      </c>
      <c r="E36" s="164" t="s">
        <v>209</v>
      </c>
      <c r="F36" s="166">
        <v>0.34</v>
      </c>
      <c r="G36" s="167">
        <f>A36*F36</f>
        <v>1.02</v>
      </c>
    </row>
    <row r="37" spans="1:7" s="87" customFormat="1" ht="12.75">
      <c r="A37" s="162">
        <v>3</v>
      </c>
      <c r="B37" s="163" t="s">
        <v>210</v>
      </c>
      <c r="C37" s="164"/>
      <c r="D37" s="165" t="s">
        <v>211</v>
      </c>
      <c r="E37" s="164" t="s">
        <v>212</v>
      </c>
      <c r="F37" s="166">
        <v>0.25</v>
      </c>
      <c r="G37" s="167">
        <f>A37*F37</f>
        <v>0.75</v>
      </c>
    </row>
    <row r="38" spans="1:8" s="115" customFormat="1" ht="12.75">
      <c r="A38" s="170">
        <v>2</v>
      </c>
      <c r="B38" s="171" t="s">
        <v>213</v>
      </c>
      <c r="C38" s="172"/>
      <c r="D38" s="172" t="s">
        <v>214</v>
      </c>
      <c r="E38" s="164"/>
      <c r="F38" s="173">
        <v>8.3</v>
      </c>
      <c r="G38" s="174">
        <f aca="true" t="shared" si="2" ref="G38:G46">A38*F38</f>
        <v>16.6</v>
      </c>
      <c r="H38" s="87"/>
    </row>
    <row r="39" spans="1:8" s="115" customFormat="1" ht="12.75">
      <c r="A39" s="170">
        <v>1</v>
      </c>
      <c r="B39" s="171" t="s">
        <v>215</v>
      </c>
      <c r="C39" s="172"/>
      <c r="D39" s="172" t="s">
        <v>216</v>
      </c>
      <c r="E39" s="164"/>
      <c r="F39" s="173">
        <v>4.7</v>
      </c>
      <c r="G39" s="174">
        <f t="shared" si="2"/>
        <v>4.7</v>
      </c>
      <c r="H39" s="87"/>
    </row>
    <row r="40" spans="1:8" s="115" customFormat="1" ht="12.75">
      <c r="A40" s="170">
        <v>3</v>
      </c>
      <c r="B40" s="171" t="s">
        <v>217</v>
      </c>
      <c r="C40" s="172"/>
      <c r="D40" s="172" t="s">
        <v>218</v>
      </c>
      <c r="E40" s="164"/>
      <c r="F40" s="173">
        <v>0.2</v>
      </c>
      <c r="G40" s="174">
        <f t="shared" si="2"/>
        <v>0.6000000000000001</v>
      </c>
      <c r="H40" s="87"/>
    </row>
    <row r="41" spans="1:8" s="115" customFormat="1" ht="13.5">
      <c r="A41" s="175">
        <v>1</v>
      </c>
      <c r="B41" s="171" t="s">
        <v>219</v>
      </c>
      <c r="C41" s="176"/>
      <c r="D41" s="176" t="s">
        <v>220</v>
      </c>
      <c r="E41" s="164" t="s">
        <v>221</v>
      </c>
      <c r="F41" s="177">
        <v>0.03</v>
      </c>
      <c r="G41" s="174">
        <f t="shared" si="2"/>
        <v>0.03</v>
      </c>
      <c r="H41" s="87"/>
    </row>
    <row r="42" spans="1:8" s="115" customFormat="1" ht="12.75">
      <c r="A42" s="178">
        <v>1</v>
      </c>
      <c r="B42" s="179" t="s">
        <v>152</v>
      </c>
      <c r="C42" s="176"/>
      <c r="D42" s="176" t="s">
        <v>222</v>
      </c>
      <c r="E42" s="164" t="s">
        <v>223</v>
      </c>
      <c r="F42" s="177">
        <v>0.5</v>
      </c>
      <c r="G42" s="174">
        <f t="shared" si="2"/>
        <v>0.5</v>
      </c>
      <c r="H42" s="87"/>
    </row>
    <row r="43" spans="1:8" s="115" customFormat="1" ht="12.75">
      <c r="A43" s="170">
        <v>1</v>
      </c>
      <c r="B43" s="171" t="s">
        <v>152</v>
      </c>
      <c r="C43" s="172"/>
      <c r="D43" s="172" t="s">
        <v>224</v>
      </c>
      <c r="E43" s="164" t="s">
        <v>225</v>
      </c>
      <c r="F43" s="173">
        <v>3.5</v>
      </c>
      <c r="G43" s="180">
        <f t="shared" si="2"/>
        <v>3.5</v>
      </c>
      <c r="H43" s="103"/>
    </row>
    <row r="44" spans="1:7" s="87" customFormat="1" ht="12.75">
      <c r="A44" s="162">
        <v>1</v>
      </c>
      <c r="B44" s="163" t="s">
        <v>226</v>
      </c>
      <c r="C44" s="181" t="s">
        <v>227</v>
      </c>
      <c r="D44" s="165" t="s">
        <v>228</v>
      </c>
      <c r="E44" s="164" t="s">
        <v>229</v>
      </c>
      <c r="F44" s="166">
        <v>0.7</v>
      </c>
      <c r="G44" s="167">
        <f t="shared" si="2"/>
        <v>0.7</v>
      </c>
    </row>
    <row r="45" spans="1:7" s="87" customFormat="1" ht="12.75">
      <c r="A45" s="162">
        <v>1</v>
      </c>
      <c r="B45" s="163" t="s">
        <v>141</v>
      </c>
      <c r="C45" s="181" t="s">
        <v>230</v>
      </c>
      <c r="D45" s="165" t="s">
        <v>231</v>
      </c>
      <c r="E45" s="164" t="s">
        <v>232</v>
      </c>
      <c r="F45" s="166">
        <v>2.3</v>
      </c>
      <c r="G45" s="167">
        <f t="shared" si="2"/>
        <v>2.3</v>
      </c>
    </row>
    <row r="46" spans="1:7" s="87" customFormat="1" ht="13.5" thickBot="1">
      <c r="A46" s="162">
        <v>1</v>
      </c>
      <c r="B46" s="163" t="s">
        <v>233</v>
      </c>
      <c r="C46" s="181" t="s">
        <v>234</v>
      </c>
      <c r="D46" s="165" t="s">
        <v>235</v>
      </c>
      <c r="E46" s="164" t="s">
        <v>236</v>
      </c>
      <c r="F46" s="166">
        <v>0.8</v>
      </c>
      <c r="G46" s="167">
        <f t="shared" si="2"/>
        <v>0.8</v>
      </c>
    </row>
    <row r="47" spans="1:8" ht="16.5" thickBot="1">
      <c r="A47" s="116" t="s">
        <v>261</v>
      </c>
      <c r="B47" s="117"/>
      <c r="C47" s="118"/>
      <c r="D47" s="119"/>
      <c r="E47" s="119"/>
      <c r="F47" s="120"/>
      <c r="G47" s="121">
        <f>SUM(G32:G46)</f>
        <v>32.02</v>
      </c>
      <c r="H47" s="87"/>
    </row>
    <row r="48" spans="1:8" ht="17.25" thickBot="1" thickTop="1">
      <c r="A48" s="116" t="s">
        <v>82</v>
      </c>
      <c r="B48" s="117"/>
      <c r="C48" s="118"/>
      <c r="D48" s="119"/>
      <c r="E48" s="119"/>
      <c r="F48" s="120"/>
      <c r="G48" s="121">
        <f>G30+G47</f>
        <v>187.802</v>
      </c>
      <c r="H48" s="87"/>
    </row>
    <row r="49" spans="1:8" ht="16.5" thickTop="1">
      <c r="A49" s="122"/>
      <c r="B49" s="123"/>
      <c r="C49" s="124"/>
      <c r="D49" s="125"/>
      <c r="E49" s="125"/>
      <c r="F49" s="126"/>
      <c r="G49" s="127"/>
      <c r="H49" s="87"/>
    </row>
    <row r="50" spans="1:8" ht="16.5" thickBot="1">
      <c r="A50" s="122"/>
      <c r="B50" s="123"/>
      <c r="C50" s="124"/>
      <c r="D50" s="125"/>
      <c r="E50" s="125"/>
      <c r="F50" s="126"/>
      <c r="G50" s="127"/>
      <c r="H50" s="87"/>
    </row>
    <row r="51" spans="1:8" ht="16.5" thickTop="1">
      <c r="A51" s="270" t="s">
        <v>131</v>
      </c>
      <c r="B51" s="271"/>
      <c r="C51" s="271"/>
      <c r="D51" s="271"/>
      <c r="E51" s="271"/>
      <c r="F51" s="271"/>
      <c r="G51" s="272"/>
      <c r="H51" s="87"/>
    </row>
    <row r="52" spans="1:8" ht="12.75">
      <c r="A52" s="273" t="s">
        <v>132</v>
      </c>
      <c r="B52" s="274"/>
      <c r="C52" s="274"/>
      <c r="D52" s="274" t="s">
        <v>133</v>
      </c>
      <c r="E52" s="274"/>
      <c r="F52" s="274"/>
      <c r="G52" s="275"/>
      <c r="H52" s="87"/>
    </row>
    <row r="53" spans="1:8" ht="12.75">
      <c r="A53" s="276" t="s">
        <v>134</v>
      </c>
      <c r="B53" s="277"/>
      <c r="C53" s="277"/>
      <c r="D53" s="278"/>
      <c r="E53" s="278"/>
      <c r="F53" s="278"/>
      <c r="G53" s="279"/>
      <c r="H53" s="87"/>
    </row>
    <row r="54" spans="1:8" ht="16.5" thickBot="1">
      <c r="A54" s="283" t="s">
        <v>135</v>
      </c>
      <c r="B54" s="284"/>
      <c r="C54" s="284"/>
      <c r="D54" s="284"/>
      <c r="E54" s="284"/>
      <c r="F54" s="284"/>
      <c r="G54" s="285"/>
      <c r="H54" s="87"/>
    </row>
    <row r="55" spans="1:8" ht="17.25" thickBot="1" thickTop="1">
      <c r="A55" s="293"/>
      <c r="B55" s="294"/>
      <c r="C55" s="294"/>
      <c r="D55" s="294"/>
      <c r="E55" s="294"/>
      <c r="F55" s="294"/>
      <c r="G55" s="295"/>
      <c r="H55" s="87"/>
    </row>
    <row r="56" spans="1:8" ht="13.5" thickTop="1">
      <c r="A56" s="100">
        <v>1</v>
      </c>
      <c r="B56" s="89" t="s">
        <v>82</v>
      </c>
      <c r="C56" s="94"/>
      <c r="D56" s="94"/>
      <c r="E56" s="130"/>
      <c r="F56" s="131">
        <f>G48</f>
        <v>187.802</v>
      </c>
      <c r="G56" s="132">
        <f aca="true" t="shared" si="3" ref="G56:G63">A56*F56</f>
        <v>187.802</v>
      </c>
      <c r="H56" s="87"/>
    </row>
    <row r="57" spans="1:8" ht="12.75">
      <c r="A57" s="100">
        <v>1</v>
      </c>
      <c r="B57" s="99"/>
      <c r="C57" s="94" t="s">
        <v>245</v>
      </c>
      <c r="D57" s="94"/>
      <c r="E57" s="94" t="s">
        <v>246</v>
      </c>
      <c r="F57" s="133">
        <v>60</v>
      </c>
      <c r="G57" s="102">
        <f t="shared" si="3"/>
        <v>60</v>
      </c>
      <c r="H57" s="87" t="s">
        <v>336</v>
      </c>
    </row>
    <row r="58" spans="1:8" ht="12.75">
      <c r="A58" s="100">
        <v>1</v>
      </c>
      <c r="B58" s="99"/>
      <c r="C58" s="94" t="s">
        <v>339</v>
      </c>
      <c r="D58" s="94"/>
      <c r="E58" s="94"/>
      <c r="F58" s="133">
        <v>50</v>
      </c>
      <c r="G58" s="102">
        <f t="shared" si="3"/>
        <v>50</v>
      </c>
      <c r="H58" s="87" t="s">
        <v>336</v>
      </c>
    </row>
    <row r="59" spans="1:8" ht="12.75">
      <c r="A59" s="100">
        <v>1</v>
      </c>
      <c r="B59" s="99"/>
      <c r="C59" s="94" t="s">
        <v>340</v>
      </c>
      <c r="D59" s="94"/>
      <c r="E59" s="94"/>
      <c r="F59" s="133">
        <v>20</v>
      </c>
      <c r="G59" s="102">
        <f t="shared" si="3"/>
        <v>20</v>
      </c>
      <c r="H59" s="87" t="s">
        <v>336</v>
      </c>
    </row>
    <row r="60" spans="1:8" ht="12.75">
      <c r="A60" s="100">
        <v>1</v>
      </c>
      <c r="B60" s="99"/>
      <c r="C60" s="94" t="s">
        <v>341</v>
      </c>
      <c r="D60" s="94"/>
      <c r="E60" s="94"/>
      <c r="F60" s="133">
        <v>14</v>
      </c>
      <c r="G60" s="102">
        <f t="shared" si="3"/>
        <v>14</v>
      </c>
      <c r="H60" s="87" t="s">
        <v>336</v>
      </c>
    </row>
    <row r="61" spans="1:8" ht="12.75">
      <c r="A61" s="100">
        <v>1</v>
      </c>
      <c r="B61" s="99"/>
      <c r="C61" s="94" t="s">
        <v>342</v>
      </c>
      <c r="D61" s="94"/>
      <c r="E61" s="94"/>
      <c r="F61" s="133">
        <v>46</v>
      </c>
      <c r="G61" s="102">
        <f t="shared" si="3"/>
        <v>46</v>
      </c>
      <c r="H61" s="87" t="s">
        <v>336</v>
      </c>
    </row>
    <row r="62" spans="1:8" ht="12.75">
      <c r="A62" s="100">
        <v>1</v>
      </c>
      <c r="B62" s="99"/>
      <c r="C62" s="94"/>
      <c r="D62" s="94"/>
      <c r="E62" s="94"/>
      <c r="F62" s="133"/>
      <c r="G62" s="102">
        <f t="shared" si="3"/>
        <v>0</v>
      </c>
      <c r="H62" s="87"/>
    </row>
    <row r="63" spans="1:8" ht="12.75">
      <c r="A63" s="100"/>
      <c r="B63" s="99"/>
      <c r="C63" s="94"/>
      <c r="D63" s="94"/>
      <c r="E63" s="94"/>
      <c r="F63" s="133"/>
      <c r="G63" s="102">
        <f t="shared" si="3"/>
        <v>0</v>
      </c>
      <c r="H63" s="87"/>
    </row>
    <row r="64" spans="1:8" ht="13.5" thickBot="1">
      <c r="A64" s="100">
        <v>1</v>
      </c>
      <c r="B64" s="99"/>
      <c r="C64" s="94" t="s">
        <v>255</v>
      </c>
      <c r="D64" s="94"/>
      <c r="E64" s="94"/>
      <c r="F64" s="133">
        <v>35</v>
      </c>
      <c r="G64" s="102">
        <f>A64*F64</f>
        <v>35</v>
      </c>
      <c r="H64" s="87"/>
    </row>
    <row r="65" spans="1:8" ht="17.25" customHeight="1" thickBot="1">
      <c r="A65" s="116" t="s">
        <v>256</v>
      </c>
      <c r="B65" s="134"/>
      <c r="C65" s="119"/>
      <c r="D65" s="135"/>
      <c r="E65" s="135"/>
      <c r="F65" s="136"/>
      <c r="G65" s="137">
        <f>SUM(G56:G64)</f>
        <v>412.802</v>
      </c>
      <c r="H65" s="87"/>
    </row>
    <row r="66" spans="1:8" ht="14.25" thickBot="1" thickTop="1">
      <c r="A66" s="138"/>
      <c r="B66" s="138"/>
      <c r="C66" s="124"/>
      <c r="D66" s="124"/>
      <c r="E66" s="124"/>
      <c r="F66" s="126"/>
      <c r="G66" s="126"/>
      <c r="H66" s="87"/>
    </row>
    <row r="67" spans="1:8" ht="19.5" thickBot="1" thickTop="1">
      <c r="A67" s="139" t="s">
        <v>257</v>
      </c>
      <c r="B67" s="140"/>
      <c r="C67" s="141"/>
      <c r="D67" s="141"/>
      <c r="E67" s="141"/>
      <c r="F67" s="142"/>
      <c r="G67" s="143">
        <f>G33+G65</f>
        <v>412.862</v>
      </c>
      <c r="H67" s="87"/>
    </row>
    <row r="68" spans="6:8" ht="18" customHeight="1" thickTop="1">
      <c r="F68" s="126"/>
      <c r="G68" s="126"/>
      <c r="H68" s="87"/>
    </row>
    <row r="69" spans="1:8" ht="18" customHeight="1">
      <c r="A69" s="146"/>
      <c r="B69" s="138"/>
      <c r="C69" s="124"/>
      <c r="D69" s="124"/>
      <c r="E69" s="124"/>
      <c r="F69" s="126"/>
      <c r="G69" s="126"/>
      <c r="H69" s="87"/>
    </row>
    <row r="70" spans="1:8" ht="12.75">
      <c r="A70" s="146"/>
      <c r="B70" s="138"/>
      <c r="C70" s="124"/>
      <c r="D70" s="124"/>
      <c r="E70" s="124"/>
      <c r="F70" s="126"/>
      <c r="G70" s="126"/>
      <c r="H70" s="87"/>
    </row>
    <row r="71" spans="1:7" s="87" customFormat="1" ht="12.75">
      <c r="A71" s="138"/>
      <c r="B71" s="138"/>
      <c r="C71" s="124"/>
      <c r="D71" s="124"/>
      <c r="E71" s="124"/>
      <c r="F71" s="126"/>
      <c r="G71" s="126"/>
    </row>
    <row r="72" spans="1:8" s="87" customFormat="1" ht="12.75">
      <c r="A72" s="138"/>
      <c r="B72" s="138"/>
      <c r="C72" s="124"/>
      <c r="D72" s="124"/>
      <c r="E72" s="124"/>
      <c r="F72" s="126"/>
      <c r="G72" s="126"/>
      <c r="H72" s="103"/>
    </row>
    <row r="73" spans="1:7" s="87" customFormat="1" ht="12.75">
      <c r="A73" s="138"/>
      <c r="B73" s="138"/>
      <c r="C73" s="124"/>
      <c r="D73" s="124"/>
      <c r="E73" s="124"/>
      <c r="F73" s="126"/>
      <c r="G73" s="126"/>
    </row>
    <row r="74" spans="1:7" s="87" customFormat="1" ht="12.75">
      <c r="A74" s="138"/>
      <c r="B74" s="138"/>
      <c r="C74" s="124"/>
      <c r="D74" s="124"/>
      <c r="E74" s="124"/>
      <c r="F74" s="126"/>
      <c r="G74" s="126"/>
    </row>
    <row r="75" spans="1:8" s="87" customFormat="1" ht="12.75">
      <c r="A75" s="138"/>
      <c r="B75" s="138"/>
      <c r="C75" s="124"/>
      <c r="D75" s="124"/>
      <c r="E75" s="124"/>
      <c r="F75" s="126"/>
      <c r="G75" s="126"/>
      <c r="H75" s="103"/>
    </row>
    <row r="76" spans="1:7" s="87" customFormat="1" ht="12.75">
      <c r="A76" s="138"/>
      <c r="B76" s="138"/>
      <c r="C76" s="147"/>
      <c r="D76" s="124"/>
      <c r="E76" s="124"/>
      <c r="F76" s="126"/>
      <c r="G76" s="126"/>
    </row>
    <row r="77" spans="1:8" s="87" customFormat="1" ht="12.75">
      <c r="A77" s="138"/>
      <c r="B77" s="138"/>
      <c r="C77" s="147"/>
      <c r="D77" s="125"/>
      <c r="E77" s="125"/>
      <c r="F77" s="126"/>
      <c r="G77" s="126"/>
      <c r="H77" s="103"/>
    </row>
    <row r="78" spans="1:7" s="87" customFormat="1" ht="12.75">
      <c r="A78" s="138"/>
      <c r="B78" s="138"/>
      <c r="C78" s="124"/>
      <c r="D78" s="124"/>
      <c r="E78" s="124"/>
      <c r="F78" s="126"/>
      <c r="G78" s="126"/>
    </row>
    <row r="79" spans="1:8" ht="12.75">
      <c r="A79" s="138"/>
      <c r="B79" s="138"/>
      <c r="C79" s="124"/>
      <c r="D79" s="124"/>
      <c r="E79" s="124"/>
      <c r="F79" s="126"/>
      <c r="G79" s="126"/>
      <c r="H79" s="113"/>
    </row>
    <row r="80" spans="1:8" ht="12.75">
      <c r="A80" s="138"/>
      <c r="B80" s="138"/>
      <c r="C80" s="124"/>
      <c r="D80" s="124"/>
      <c r="E80" s="124"/>
      <c r="F80" s="126"/>
      <c r="G80" s="126"/>
      <c r="H80" s="113"/>
    </row>
    <row r="81" spans="1:8" ht="12.75">
      <c r="A81" s="138"/>
      <c r="B81" s="138"/>
      <c r="C81" s="124"/>
      <c r="D81" s="124"/>
      <c r="E81" s="124"/>
      <c r="F81" s="126"/>
      <c r="G81" s="126"/>
      <c r="H81" s="113"/>
    </row>
    <row r="82" spans="1:8" ht="12.75">
      <c r="A82" s="138"/>
      <c r="B82" s="138"/>
      <c r="C82" s="124"/>
      <c r="D82" s="124"/>
      <c r="E82" s="124"/>
      <c r="F82" s="126"/>
      <c r="G82" s="126"/>
      <c r="H82" s="113"/>
    </row>
    <row r="83" spans="1:7" s="87" customFormat="1" ht="12.75">
      <c r="A83" s="138"/>
      <c r="B83" s="138"/>
      <c r="C83" s="124"/>
      <c r="D83" s="124"/>
      <c r="E83" s="124"/>
      <c r="F83" s="126"/>
      <c r="G83" s="126"/>
    </row>
    <row r="84" spans="1:7" s="87" customFormat="1" ht="12.75">
      <c r="A84" s="138"/>
      <c r="B84" s="138"/>
      <c r="C84" s="124"/>
      <c r="D84" s="124"/>
      <c r="E84" s="124"/>
      <c r="F84" s="126"/>
      <c r="G84" s="126"/>
    </row>
    <row r="85" spans="1:7" s="87" customFormat="1" ht="12.75">
      <c r="A85" s="138"/>
      <c r="B85" s="138"/>
      <c r="C85" s="124"/>
      <c r="D85" s="124"/>
      <c r="E85" s="124"/>
      <c r="F85" s="126"/>
      <c r="G85" s="126"/>
    </row>
    <row r="86" spans="1:7" s="87" customFormat="1" ht="12.75">
      <c r="A86" s="138"/>
      <c r="B86" s="138"/>
      <c r="C86" s="124"/>
      <c r="D86" s="124"/>
      <c r="E86" s="124"/>
      <c r="F86" s="126"/>
      <c r="G86" s="126"/>
    </row>
    <row r="87" spans="1:7" s="87" customFormat="1" ht="12.75">
      <c r="A87" s="138"/>
      <c r="B87" s="138"/>
      <c r="C87" s="124"/>
      <c r="D87" s="124"/>
      <c r="E87" s="124"/>
      <c r="F87" s="126"/>
      <c r="G87" s="126"/>
    </row>
    <row r="88" spans="1:7" s="87" customFormat="1" ht="12.75">
      <c r="A88" s="138"/>
      <c r="B88" s="138"/>
      <c r="C88" s="124"/>
      <c r="D88" s="124"/>
      <c r="E88" s="124"/>
      <c r="F88" s="126"/>
      <c r="G88" s="126"/>
    </row>
    <row r="89" spans="1:8" ht="13.5" customHeight="1">
      <c r="A89" s="138"/>
      <c r="B89" s="138"/>
      <c r="C89" s="124"/>
      <c r="D89" s="124"/>
      <c r="E89" s="124"/>
      <c r="F89" s="126"/>
      <c r="G89" s="126"/>
      <c r="H89" s="87"/>
    </row>
    <row r="90" spans="1:8" ht="13.5" customHeight="1">
      <c r="A90" s="138"/>
      <c r="B90" s="138"/>
      <c r="C90" s="124"/>
      <c r="D90" s="124"/>
      <c r="E90" s="124"/>
      <c r="F90" s="126"/>
      <c r="G90" s="126"/>
      <c r="H90" s="87"/>
    </row>
    <row r="91" spans="1:8" ht="12.75">
      <c r="A91" s="138"/>
      <c r="B91" s="138"/>
      <c r="C91" s="124"/>
      <c r="D91" s="124"/>
      <c r="E91" s="124"/>
      <c r="F91" s="126"/>
      <c r="G91" s="126"/>
      <c r="H91" s="87"/>
    </row>
    <row r="92" spans="1:8" ht="12.75">
      <c r="A92" s="138"/>
      <c r="B92" s="138"/>
      <c r="C92" s="124"/>
      <c r="D92" s="124"/>
      <c r="E92" s="124"/>
      <c r="F92" s="126"/>
      <c r="G92" s="126"/>
      <c r="H92" s="87"/>
    </row>
    <row r="93" spans="1:8" ht="12.75">
      <c r="A93" s="138"/>
      <c r="B93" s="138"/>
      <c r="C93" s="124"/>
      <c r="D93" s="124"/>
      <c r="E93" s="124"/>
      <c r="F93" s="126"/>
      <c r="G93" s="126"/>
      <c r="H93" s="103"/>
    </row>
    <row r="94" spans="1:8" ht="12.75">
      <c r="A94" s="138"/>
      <c r="B94" s="138"/>
      <c r="C94" s="124"/>
      <c r="D94" s="124"/>
      <c r="E94" s="124"/>
      <c r="F94" s="126"/>
      <c r="G94" s="126"/>
      <c r="H94" s="87"/>
    </row>
    <row r="95" spans="1:8" ht="12.75">
      <c r="A95" s="138"/>
      <c r="B95" s="138"/>
      <c r="C95" s="124"/>
      <c r="D95" s="124"/>
      <c r="E95" s="124"/>
      <c r="F95" s="126"/>
      <c r="G95" s="126"/>
      <c r="H95" s="103"/>
    </row>
    <row r="96" spans="1:8" ht="12.75">
      <c r="A96" s="138"/>
      <c r="B96" s="138"/>
      <c r="C96" s="124"/>
      <c r="D96" s="124"/>
      <c r="E96" s="124"/>
      <c r="F96" s="126"/>
      <c r="G96" s="126"/>
      <c r="H96" s="103"/>
    </row>
    <row r="97" spans="1:8" ht="12.75">
      <c r="A97" s="138"/>
      <c r="B97" s="138"/>
      <c r="C97" s="124"/>
      <c r="D97" s="124"/>
      <c r="E97" s="124"/>
      <c r="F97" s="126"/>
      <c r="G97" s="148"/>
      <c r="H97" s="103"/>
    </row>
    <row r="98" spans="1:7" ht="12.75">
      <c r="A98" s="138"/>
      <c r="B98" s="138"/>
      <c r="C98" s="124"/>
      <c r="D98" s="149"/>
      <c r="E98" s="149"/>
      <c r="F98" s="149"/>
      <c r="G98" s="149"/>
    </row>
    <row r="99" spans="1:7" ht="12.75">
      <c r="A99" s="138"/>
      <c r="B99" s="138"/>
      <c r="C99" s="124"/>
      <c r="D99" s="124"/>
      <c r="E99" s="124"/>
      <c r="F99" s="126"/>
      <c r="G99" s="126"/>
    </row>
    <row r="100" spans="1:7" ht="12.75">
      <c r="A100" s="138"/>
      <c r="B100" s="138"/>
      <c r="C100" s="124"/>
      <c r="D100" s="124"/>
      <c r="E100" s="124"/>
      <c r="F100" s="126"/>
      <c r="G100" s="126"/>
    </row>
    <row r="101" spans="1:7" ht="12.75">
      <c r="A101" s="138"/>
      <c r="B101" s="138"/>
      <c r="C101" s="124"/>
      <c r="D101" s="124"/>
      <c r="E101" s="124"/>
      <c r="F101" s="126"/>
      <c r="G101" s="126"/>
    </row>
    <row r="102" spans="1:7" ht="12.75">
      <c r="A102" s="138"/>
      <c r="B102" s="138"/>
      <c r="C102" s="124"/>
      <c r="D102" s="124"/>
      <c r="E102" s="124"/>
      <c r="F102" s="126"/>
      <c r="G102" s="126"/>
    </row>
    <row r="103" spans="1:7" ht="12.75">
      <c r="A103" s="138"/>
      <c r="B103" s="138"/>
      <c r="C103" s="124"/>
      <c r="D103" s="124"/>
      <c r="E103" s="124"/>
      <c r="F103" s="126"/>
      <c r="G103" s="126"/>
    </row>
    <row r="104" spans="1:7" ht="12.75">
      <c r="A104" s="138"/>
      <c r="B104" s="138"/>
      <c r="C104" s="124"/>
      <c r="D104" s="124"/>
      <c r="E104" s="124"/>
      <c r="F104" s="126"/>
      <c r="G104" s="126"/>
    </row>
    <row r="105" spans="1:7" ht="12.75">
      <c r="A105" s="138"/>
      <c r="B105" s="138"/>
      <c r="C105" s="124"/>
      <c r="D105" s="124"/>
      <c r="E105" s="124"/>
      <c r="F105" s="126"/>
      <c r="G105" s="126"/>
    </row>
    <row r="106" spans="1:7" ht="12.75">
      <c r="A106" s="138"/>
      <c r="B106" s="138"/>
      <c r="C106" s="124"/>
      <c r="D106" s="124"/>
      <c r="E106" s="124"/>
      <c r="F106" s="126"/>
      <c r="G106" s="126"/>
    </row>
    <row r="107" spans="1:7" ht="12.75">
      <c r="A107" s="138"/>
      <c r="B107" s="138"/>
      <c r="C107" s="124"/>
      <c r="D107" s="124"/>
      <c r="E107" s="124"/>
      <c r="F107" s="126"/>
      <c r="G107" s="126"/>
    </row>
    <row r="108" spans="1:7" ht="12.75">
      <c r="A108" s="138"/>
      <c r="B108" s="138"/>
      <c r="C108" s="124"/>
      <c r="D108" s="124"/>
      <c r="E108" s="124"/>
      <c r="F108" s="126"/>
      <c r="G108" s="126"/>
    </row>
    <row r="109" spans="1:7" ht="12.75">
      <c r="A109" s="138"/>
      <c r="B109" s="138"/>
      <c r="C109" s="124"/>
      <c r="D109" s="124"/>
      <c r="E109" s="124"/>
      <c r="F109" s="126"/>
      <c r="G109" s="126"/>
    </row>
    <row r="110" spans="1:7" ht="12.75">
      <c r="A110" s="138"/>
      <c r="B110" s="138"/>
      <c r="C110" s="124"/>
      <c r="D110" s="124"/>
      <c r="E110" s="124"/>
      <c r="F110" s="126"/>
      <c r="G110" s="126"/>
    </row>
    <row r="111" spans="1:7" ht="12.75">
      <c r="A111" s="138"/>
      <c r="B111" s="138"/>
      <c r="C111" s="124"/>
      <c r="D111" s="124"/>
      <c r="E111" s="124"/>
      <c r="F111" s="126"/>
      <c r="G111" s="126"/>
    </row>
    <row r="112" spans="1:7" ht="12.75">
      <c r="A112" s="138"/>
      <c r="B112" s="138"/>
      <c r="C112" s="124"/>
      <c r="D112" s="124"/>
      <c r="E112" s="124"/>
      <c r="F112" s="126"/>
      <c r="G112" s="126"/>
    </row>
    <row r="113" spans="1:7" ht="12.75">
      <c r="A113" s="138"/>
      <c r="B113" s="138"/>
      <c r="C113" s="124"/>
      <c r="D113" s="124"/>
      <c r="E113" s="124"/>
      <c r="F113" s="126"/>
      <c r="G113" s="126"/>
    </row>
    <row r="114" spans="1:7" ht="12.75">
      <c r="A114" s="138"/>
      <c r="B114" s="138"/>
      <c r="C114" s="124"/>
      <c r="D114" s="124"/>
      <c r="E114" s="124"/>
      <c r="F114" s="126"/>
      <c r="G114" s="126"/>
    </row>
  </sheetData>
  <mergeCells count="8">
    <mergeCell ref="A54:G54"/>
    <mergeCell ref="A55:G55"/>
    <mergeCell ref="A4:G4"/>
    <mergeCell ref="A1:G1"/>
    <mergeCell ref="A2:C2"/>
    <mergeCell ref="D2:G2"/>
    <mergeCell ref="A3:C3"/>
    <mergeCell ref="D3:G3"/>
  </mergeCells>
  <printOptions/>
  <pageMargins left="0.75" right="0.21" top="0.69" bottom="1" header="0.5" footer="0.5"/>
  <pageSetup fitToHeight="1" fitToWidth="1" horizontalDpi="525" verticalDpi="525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workbookViewId="0" topLeftCell="A5">
      <selection activeCell="H7" sqref="H7"/>
    </sheetView>
  </sheetViews>
  <sheetFormatPr defaultColWidth="9.140625" defaultRowHeight="12.75"/>
  <cols>
    <col min="1" max="1" width="5.28125" style="144" customWidth="1"/>
    <col min="2" max="2" width="15.7109375" style="144" customWidth="1"/>
    <col min="3" max="3" width="32.28125" style="145" customWidth="1"/>
    <col min="4" max="4" width="30.140625" style="145" customWidth="1"/>
    <col min="5" max="5" width="29.8515625" style="145" customWidth="1"/>
    <col min="6" max="6" width="12.7109375" style="150" customWidth="1"/>
    <col min="7" max="7" width="13.28125" style="150" customWidth="1"/>
  </cols>
  <sheetData>
    <row r="1" spans="1:8" ht="17.25" customHeight="1" thickTop="1">
      <c r="A1" s="280" t="s">
        <v>283</v>
      </c>
      <c r="B1" s="281"/>
      <c r="C1" s="281"/>
      <c r="D1" s="281"/>
      <c r="E1" s="281"/>
      <c r="F1" s="281"/>
      <c r="G1" s="282"/>
      <c r="H1" s="87"/>
    </row>
    <row r="2" spans="1:8" ht="12.75">
      <c r="A2" s="286" t="s">
        <v>132</v>
      </c>
      <c r="B2" s="287"/>
      <c r="C2" s="287"/>
      <c r="D2" s="287" t="s">
        <v>133</v>
      </c>
      <c r="E2" s="287"/>
      <c r="F2" s="287"/>
      <c r="G2" s="288"/>
      <c r="H2" s="87"/>
    </row>
    <row r="3" spans="1:8" ht="12.75">
      <c r="A3" s="289" t="s">
        <v>134</v>
      </c>
      <c r="B3" s="290"/>
      <c r="C3" s="290"/>
      <c r="D3" s="291"/>
      <c r="E3" s="291"/>
      <c r="F3" s="291"/>
      <c r="G3" s="292"/>
      <c r="H3" s="87"/>
    </row>
    <row r="4" spans="1:8" ht="18" customHeight="1">
      <c r="A4" s="283" t="s">
        <v>135</v>
      </c>
      <c r="B4" s="284"/>
      <c r="C4" s="284"/>
      <c r="D4" s="284"/>
      <c r="E4" s="284"/>
      <c r="F4" s="284"/>
      <c r="G4" s="285"/>
      <c r="H4" s="87"/>
    </row>
    <row r="5" spans="1:8" ht="15.75" customHeight="1">
      <c r="A5" s="206" t="s">
        <v>136</v>
      </c>
      <c r="B5" s="207" t="s">
        <v>137</v>
      </c>
      <c r="C5" s="207"/>
      <c r="D5" s="207" t="s">
        <v>138</v>
      </c>
      <c r="E5" s="207"/>
      <c r="F5" s="208" t="s">
        <v>139</v>
      </c>
      <c r="G5" s="209" t="s">
        <v>140</v>
      </c>
      <c r="H5" s="87"/>
    </row>
    <row r="6" spans="1:8" ht="12.75" customHeight="1">
      <c r="A6" s="206"/>
      <c r="B6" s="207"/>
      <c r="C6" s="207"/>
      <c r="D6" s="207"/>
      <c r="E6" s="207"/>
      <c r="F6" s="208"/>
      <c r="G6" s="209"/>
      <c r="H6" s="87"/>
    </row>
    <row r="7" spans="1:8" s="115" customFormat="1" ht="12.75">
      <c r="A7" s="178">
        <v>1</v>
      </c>
      <c r="B7" s="179" t="s">
        <v>264</v>
      </c>
      <c r="C7" s="165" t="s">
        <v>284</v>
      </c>
      <c r="D7" s="176" t="s">
        <v>143</v>
      </c>
      <c r="E7" s="182" t="s">
        <v>285</v>
      </c>
      <c r="F7" s="177">
        <v>26</v>
      </c>
      <c r="G7" s="174">
        <f aca="true" t="shared" si="0" ref="G7:G38">A7*F7</f>
        <v>26</v>
      </c>
      <c r="H7" s="87"/>
    </row>
    <row r="8" spans="1:8" s="115" customFormat="1" ht="12.75">
      <c r="A8" s="178">
        <v>1</v>
      </c>
      <c r="B8" s="179" t="s">
        <v>286</v>
      </c>
      <c r="C8" s="165"/>
      <c r="D8" s="176" t="s">
        <v>287</v>
      </c>
      <c r="E8" s="182"/>
      <c r="F8" s="177">
        <v>0.13</v>
      </c>
      <c r="G8" s="174">
        <f t="shared" si="0"/>
        <v>0.13</v>
      </c>
      <c r="H8" s="87"/>
    </row>
    <row r="9" spans="1:8" s="115" customFormat="1" ht="12.75">
      <c r="A9" s="178">
        <v>2</v>
      </c>
      <c r="B9" s="179" t="s">
        <v>145</v>
      </c>
      <c r="C9" s="165"/>
      <c r="D9" s="176" t="s">
        <v>288</v>
      </c>
      <c r="E9" s="182"/>
      <c r="F9" s="177">
        <v>0.03</v>
      </c>
      <c r="G9" s="174">
        <f t="shared" si="0"/>
        <v>0.06</v>
      </c>
      <c r="H9" s="87"/>
    </row>
    <row r="10" spans="1:8" s="115" customFormat="1" ht="12.75">
      <c r="A10" s="178">
        <v>2</v>
      </c>
      <c r="B10" s="179" t="s">
        <v>147</v>
      </c>
      <c r="C10" s="165"/>
      <c r="D10" s="176" t="s">
        <v>148</v>
      </c>
      <c r="E10" s="182"/>
      <c r="F10" s="177">
        <v>0.03</v>
      </c>
      <c r="G10" s="174">
        <f t="shared" si="0"/>
        <v>0.06</v>
      </c>
      <c r="H10" s="87"/>
    </row>
    <row r="11" spans="1:8" s="236" customFormat="1" ht="12.75">
      <c r="A11" s="184">
        <v>2</v>
      </c>
      <c r="B11" s="185" t="s">
        <v>149</v>
      </c>
      <c r="C11" s="153"/>
      <c r="D11" s="186" t="s">
        <v>150</v>
      </c>
      <c r="E11" s="187" t="s">
        <v>289</v>
      </c>
      <c r="F11" s="188">
        <v>5</v>
      </c>
      <c r="G11" s="189">
        <f t="shared" si="0"/>
        <v>10</v>
      </c>
      <c r="H11" s="156"/>
    </row>
    <row r="12" spans="1:8" s="115" customFormat="1" ht="12.75">
      <c r="A12" s="178">
        <v>1</v>
      </c>
      <c r="B12" s="168" t="s">
        <v>152</v>
      </c>
      <c r="C12" s="165"/>
      <c r="D12" s="165" t="s">
        <v>153</v>
      </c>
      <c r="E12" s="182"/>
      <c r="F12" s="177">
        <v>2</v>
      </c>
      <c r="G12" s="174">
        <f t="shared" si="0"/>
        <v>2</v>
      </c>
      <c r="H12" s="87"/>
    </row>
    <row r="13" spans="1:7" s="87" customFormat="1" ht="12.75">
      <c r="A13" s="162">
        <v>4</v>
      </c>
      <c r="B13" s="168" t="s">
        <v>157</v>
      </c>
      <c r="C13" s="183" t="s">
        <v>158</v>
      </c>
      <c r="D13" s="165" t="s">
        <v>290</v>
      </c>
      <c r="E13" s="165" t="s">
        <v>160</v>
      </c>
      <c r="F13" s="169">
        <v>0.5</v>
      </c>
      <c r="G13" s="167">
        <f t="shared" si="0"/>
        <v>2</v>
      </c>
    </row>
    <row r="14" spans="1:7" s="87" customFormat="1" ht="12.75">
      <c r="A14" s="162">
        <v>4</v>
      </c>
      <c r="B14" s="168" t="s">
        <v>152</v>
      </c>
      <c r="C14" s="165"/>
      <c r="D14" s="165" t="s">
        <v>161</v>
      </c>
      <c r="E14" s="165"/>
      <c r="F14" s="169">
        <v>0.02</v>
      </c>
      <c r="G14" s="167">
        <f t="shared" si="0"/>
        <v>0.08</v>
      </c>
    </row>
    <row r="15" spans="1:8" s="87" customFormat="1" ht="12.75">
      <c r="A15" s="162">
        <v>2</v>
      </c>
      <c r="B15" s="168" t="s">
        <v>157</v>
      </c>
      <c r="C15" s="165"/>
      <c r="D15" s="165" t="s">
        <v>159</v>
      </c>
      <c r="E15" s="165" t="s">
        <v>160</v>
      </c>
      <c r="F15" s="169">
        <v>0.5</v>
      </c>
      <c r="G15" s="167">
        <f t="shared" si="0"/>
        <v>1</v>
      </c>
      <c r="H15" s="103"/>
    </row>
    <row r="16" spans="1:7" s="87" customFormat="1" ht="12.75">
      <c r="A16" s="162">
        <v>2</v>
      </c>
      <c r="B16" s="168" t="s">
        <v>162</v>
      </c>
      <c r="C16" s="183" t="s">
        <v>163</v>
      </c>
      <c r="D16" s="165" t="s">
        <v>159</v>
      </c>
      <c r="E16" s="165" t="s">
        <v>164</v>
      </c>
      <c r="F16" s="169">
        <v>0.02</v>
      </c>
      <c r="G16" s="167">
        <f t="shared" si="0"/>
        <v>0.04</v>
      </c>
    </row>
    <row r="17" spans="1:7" s="87" customFormat="1" ht="12.75">
      <c r="A17" s="162">
        <v>1</v>
      </c>
      <c r="B17" s="168" t="s">
        <v>165</v>
      </c>
      <c r="C17" s="183" t="s">
        <v>166</v>
      </c>
      <c r="D17" s="165" t="s">
        <v>291</v>
      </c>
      <c r="E17" s="165" t="s">
        <v>292</v>
      </c>
      <c r="F17" s="169">
        <v>0.02</v>
      </c>
      <c r="G17" s="167">
        <f t="shared" si="0"/>
        <v>0.02</v>
      </c>
    </row>
    <row r="18" spans="1:8" s="87" customFormat="1" ht="12.75">
      <c r="A18" s="162">
        <v>1</v>
      </c>
      <c r="B18" s="168" t="s">
        <v>169</v>
      </c>
      <c r="C18" s="183"/>
      <c r="D18" s="165" t="s">
        <v>170</v>
      </c>
      <c r="E18" s="165" t="s">
        <v>268</v>
      </c>
      <c r="F18" s="169">
        <v>3</v>
      </c>
      <c r="G18" s="167">
        <f t="shared" si="0"/>
        <v>3</v>
      </c>
      <c r="H18" s="103"/>
    </row>
    <row r="19" spans="1:7" s="156" customFormat="1" ht="12.75">
      <c r="A19" s="190">
        <v>1</v>
      </c>
      <c r="B19" s="191" t="s">
        <v>152</v>
      </c>
      <c r="C19" s="192" t="s">
        <v>293</v>
      </c>
      <c r="D19" s="193" t="s">
        <v>294</v>
      </c>
      <c r="E19" s="193"/>
      <c r="F19" s="194">
        <v>45</v>
      </c>
      <c r="G19" s="195">
        <f t="shared" si="0"/>
        <v>45</v>
      </c>
    </row>
    <row r="20" spans="1:7" s="156" customFormat="1" ht="12.75">
      <c r="A20" s="190">
        <v>1</v>
      </c>
      <c r="B20" s="191" t="s">
        <v>152</v>
      </c>
      <c r="C20" s="192" t="s">
        <v>295</v>
      </c>
      <c r="D20" s="193" t="s">
        <v>181</v>
      </c>
      <c r="E20" s="193"/>
      <c r="F20" s="194">
        <v>45</v>
      </c>
      <c r="G20" s="195">
        <f t="shared" si="0"/>
        <v>45</v>
      </c>
    </row>
    <row r="21" spans="1:8" s="156" customFormat="1" ht="12.75">
      <c r="A21" s="151">
        <v>1</v>
      </c>
      <c r="B21" s="152" t="s">
        <v>152</v>
      </c>
      <c r="C21" s="216" t="s">
        <v>296</v>
      </c>
      <c r="D21" s="153" t="s">
        <v>183</v>
      </c>
      <c r="E21" s="153"/>
      <c r="F21" s="154">
        <v>2</v>
      </c>
      <c r="G21" s="155">
        <f t="shared" si="0"/>
        <v>2</v>
      </c>
      <c r="H21" s="196"/>
    </row>
    <row r="22" spans="1:8" s="156" customFormat="1" ht="12.75">
      <c r="A22" s="151">
        <v>2</v>
      </c>
      <c r="B22" s="152" t="s">
        <v>152</v>
      </c>
      <c r="C22" s="199"/>
      <c r="D22" s="153" t="s">
        <v>184</v>
      </c>
      <c r="E22" s="199"/>
      <c r="F22" s="200">
        <v>20</v>
      </c>
      <c r="G22" s="155">
        <f t="shared" si="0"/>
        <v>40</v>
      </c>
      <c r="H22" s="196"/>
    </row>
    <row r="23" spans="1:7" s="87" customFormat="1" ht="12.75">
      <c r="A23" s="162">
        <v>3</v>
      </c>
      <c r="B23" s="163" t="s">
        <v>162</v>
      </c>
      <c r="C23" s="181" t="s">
        <v>185</v>
      </c>
      <c r="D23" s="165" t="s">
        <v>186</v>
      </c>
      <c r="E23" s="164" t="s">
        <v>187</v>
      </c>
      <c r="F23" s="166">
        <v>0.05</v>
      </c>
      <c r="G23" s="167">
        <f t="shared" si="0"/>
        <v>0.15000000000000002</v>
      </c>
    </row>
    <row r="24" spans="1:7" s="87" customFormat="1" ht="12.75">
      <c r="A24" s="162">
        <v>2</v>
      </c>
      <c r="B24" s="163" t="s">
        <v>188</v>
      </c>
      <c r="C24" s="181" t="s">
        <v>189</v>
      </c>
      <c r="D24" s="165" t="s">
        <v>297</v>
      </c>
      <c r="E24" s="164" t="s">
        <v>190</v>
      </c>
      <c r="F24" s="166">
        <v>0.1</v>
      </c>
      <c r="G24" s="167">
        <f t="shared" si="0"/>
        <v>0.2</v>
      </c>
    </row>
    <row r="25" spans="1:7" s="87" customFormat="1" ht="12.75">
      <c r="A25" s="162">
        <v>2</v>
      </c>
      <c r="B25" s="163" t="s">
        <v>191</v>
      </c>
      <c r="C25" s="181" t="s">
        <v>192</v>
      </c>
      <c r="D25" s="165" t="s">
        <v>297</v>
      </c>
      <c r="E25" s="164" t="s">
        <v>193</v>
      </c>
      <c r="F25" s="166">
        <v>0.2</v>
      </c>
      <c r="G25" s="167">
        <f t="shared" si="0"/>
        <v>0.4</v>
      </c>
    </row>
    <row r="26" spans="1:7" s="87" customFormat="1" ht="12.75">
      <c r="A26" s="162">
        <v>1</v>
      </c>
      <c r="B26" s="163" t="s">
        <v>194</v>
      </c>
      <c r="C26" s="181" t="s">
        <v>298</v>
      </c>
      <c r="D26" s="165" t="s">
        <v>196</v>
      </c>
      <c r="E26" s="164" t="s">
        <v>243</v>
      </c>
      <c r="F26" s="166">
        <v>3</v>
      </c>
      <c r="G26" s="167">
        <f t="shared" si="0"/>
        <v>3</v>
      </c>
    </row>
    <row r="27" spans="1:7" s="156" customFormat="1" ht="12.75">
      <c r="A27" s="190">
        <v>1</v>
      </c>
      <c r="B27" s="237" t="s">
        <v>299</v>
      </c>
      <c r="C27" s="238" t="s">
        <v>300</v>
      </c>
      <c r="D27" s="193" t="s">
        <v>301</v>
      </c>
      <c r="E27" s="197" t="s">
        <v>302</v>
      </c>
      <c r="F27" s="198">
        <v>25</v>
      </c>
      <c r="G27" s="195">
        <f t="shared" si="0"/>
        <v>25</v>
      </c>
    </row>
    <row r="28" spans="1:7" s="156" customFormat="1" ht="12.75">
      <c r="A28" s="190">
        <v>1</v>
      </c>
      <c r="B28" s="237" t="s">
        <v>303</v>
      </c>
      <c r="C28" s="238" t="s">
        <v>304</v>
      </c>
      <c r="D28" s="193" t="s">
        <v>305</v>
      </c>
      <c r="E28" s="197" t="s">
        <v>306</v>
      </c>
      <c r="F28" s="198">
        <v>11</v>
      </c>
      <c r="G28" s="195">
        <f t="shared" si="0"/>
        <v>11</v>
      </c>
    </row>
    <row r="29" spans="1:7" s="87" customFormat="1" ht="12.75">
      <c r="A29" s="226">
        <v>1</v>
      </c>
      <c r="B29" s="227" t="s">
        <v>155</v>
      </c>
      <c r="C29" s="228"/>
      <c r="D29" s="229" t="s">
        <v>307</v>
      </c>
      <c r="E29" s="230"/>
      <c r="F29" s="231">
        <v>0.04</v>
      </c>
      <c r="G29" s="232">
        <f t="shared" si="0"/>
        <v>0.04</v>
      </c>
    </row>
    <row r="30" spans="1:7" s="156" customFormat="1" ht="12.75">
      <c r="A30" s="190">
        <v>1</v>
      </c>
      <c r="B30" s="237" t="s">
        <v>308</v>
      </c>
      <c r="C30" s="238" t="s">
        <v>309</v>
      </c>
      <c r="D30" s="193" t="s">
        <v>310</v>
      </c>
      <c r="E30" s="197" t="s">
        <v>311</v>
      </c>
      <c r="F30" s="198">
        <v>8</v>
      </c>
      <c r="G30" s="195">
        <f t="shared" si="0"/>
        <v>8</v>
      </c>
    </row>
    <row r="31" spans="1:7" s="87" customFormat="1" ht="13.5" thickBot="1">
      <c r="A31" s="226">
        <v>1</v>
      </c>
      <c r="B31" s="227" t="s">
        <v>312</v>
      </c>
      <c r="C31" s="233"/>
      <c r="D31" s="234" t="s">
        <v>313</v>
      </c>
      <c r="E31" s="230" t="s">
        <v>314</v>
      </c>
      <c r="F31" s="231">
        <v>0.05</v>
      </c>
      <c r="G31" s="232">
        <f t="shared" si="0"/>
        <v>0.05</v>
      </c>
    </row>
    <row r="32" spans="1:8" ht="16.5" thickBot="1">
      <c r="A32" s="210" t="s">
        <v>272</v>
      </c>
      <c r="B32" s="211"/>
      <c r="C32" s="212"/>
      <c r="D32" s="213"/>
      <c r="E32" s="213"/>
      <c r="F32" s="214"/>
      <c r="G32" s="215">
        <f>SUM(G7:G10,G12:G18,G23:G26,G29,G31)</f>
        <v>38.22999999999999</v>
      </c>
      <c r="H32" s="87"/>
    </row>
    <row r="33" spans="1:7" s="87" customFormat="1" ht="13.5" thickTop="1">
      <c r="A33" s="162">
        <v>2</v>
      </c>
      <c r="B33" s="163" t="s">
        <v>198</v>
      </c>
      <c r="C33" s="164" t="s">
        <v>199</v>
      </c>
      <c r="D33" s="165" t="s">
        <v>200</v>
      </c>
      <c r="E33" s="164"/>
      <c r="F33" s="166">
        <v>0.06</v>
      </c>
      <c r="G33" s="167">
        <f t="shared" si="0"/>
        <v>0.12</v>
      </c>
    </row>
    <row r="34" spans="1:7" s="87" customFormat="1" ht="12.75">
      <c r="A34" s="162">
        <v>3</v>
      </c>
      <c r="B34" s="163" t="s">
        <v>201</v>
      </c>
      <c r="C34" s="164"/>
      <c r="D34" s="165" t="s">
        <v>202</v>
      </c>
      <c r="E34" s="164"/>
      <c r="F34" s="166">
        <v>0.02</v>
      </c>
      <c r="G34" s="167">
        <f t="shared" si="0"/>
        <v>0.06</v>
      </c>
    </row>
    <row r="35" spans="1:7" s="87" customFormat="1" ht="12.75">
      <c r="A35" s="162">
        <v>6</v>
      </c>
      <c r="B35" s="163" t="s">
        <v>155</v>
      </c>
      <c r="C35" s="164"/>
      <c r="D35" s="165" t="s">
        <v>203</v>
      </c>
      <c r="E35" s="164"/>
      <c r="F35" s="166">
        <v>0.04</v>
      </c>
      <c r="G35" s="167">
        <f t="shared" si="0"/>
        <v>0.24</v>
      </c>
    </row>
    <row r="36" spans="1:7" s="87" customFormat="1" ht="12.75">
      <c r="A36" s="162">
        <v>1</v>
      </c>
      <c r="B36" s="168" t="s">
        <v>204</v>
      </c>
      <c r="C36" s="165"/>
      <c r="D36" s="165" t="s">
        <v>205</v>
      </c>
      <c r="E36" s="165" t="s">
        <v>206</v>
      </c>
      <c r="F36" s="169">
        <v>0.1</v>
      </c>
      <c r="G36" s="167">
        <f t="shared" si="0"/>
        <v>0.1</v>
      </c>
    </row>
    <row r="37" spans="1:7" s="87" customFormat="1" ht="12.75">
      <c r="A37" s="162">
        <v>3</v>
      </c>
      <c r="B37" s="163" t="s">
        <v>207</v>
      </c>
      <c r="C37" s="164"/>
      <c r="D37" s="165" t="s">
        <v>208</v>
      </c>
      <c r="E37" s="164" t="s">
        <v>209</v>
      </c>
      <c r="F37" s="235">
        <v>0.34</v>
      </c>
      <c r="G37" s="167">
        <f t="shared" si="0"/>
        <v>1.02</v>
      </c>
    </row>
    <row r="38" spans="1:7" s="87" customFormat="1" ht="12.75">
      <c r="A38" s="162">
        <v>3</v>
      </c>
      <c r="B38" s="163" t="s">
        <v>210</v>
      </c>
      <c r="C38" s="164"/>
      <c r="D38" s="165" t="s">
        <v>211</v>
      </c>
      <c r="E38" s="164" t="s">
        <v>212</v>
      </c>
      <c r="F38" s="235">
        <v>0.25</v>
      </c>
      <c r="G38" s="167">
        <f t="shared" si="0"/>
        <v>0.75</v>
      </c>
    </row>
    <row r="39" spans="1:8" s="115" customFormat="1" ht="12.75">
      <c r="A39" s="170">
        <v>2</v>
      </c>
      <c r="B39" s="171" t="s">
        <v>213</v>
      </c>
      <c r="C39" s="172"/>
      <c r="D39" s="172" t="s">
        <v>214</v>
      </c>
      <c r="E39" s="164"/>
      <c r="F39" s="173">
        <v>8.3</v>
      </c>
      <c r="G39" s="174">
        <f aca="true" t="shared" si="1" ref="G39:G47">A39*F39</f>
        <v>16.6</v>
      </c>
      <c r="H39" s="87"/>
    </row>
    <row r="40" spans="1:8" s="115" customFormat="1" ht="12.75">
      <c r="A40" s="170">
        <v>1</v>
      </c>
      <c r="B40" s="171" t="s">
        <v>215</v>
      </c>
      <c r="C40" s="172"/>
      <c r="D40" s="172" t="s">
        <v>216</v>
      </c>
      <c r="E40" s="164"/>
      <c r="F40" s="173">
        <v>4.7</v>
      </c>
      <c r="G40" s="174">
        <f t="shared" si="1"/>
        <v>4.7</v>
      </c>
      <c r="H40" s="87"/>
    </row>
    <row r="41" spans="1:8" s="115" customFormat="1" ht="12.75">
      <c r="A41" s="170">
        <v>3</v>
      </c>
      <c r="B41" s="171" t="s">
        <v>217</v>
      </c>
      <c r="C41" s="172"/>
      <c r="D41" s="172" t="s">
        <v>218</v>
      </c>
      <c r="E41" s="164"/>
      <c r="F41" s="173">
        <v>0.2</v>
      </c>
      <c r="G41" s="174">
        <f t="shared" si="1"/>
        <v>0.6000000000000001</v>
      </c>
      <c r="H41" s="87"/>
    </row>
    <row r="42" spans="1:8" s="115" customFormat="1" ht="13.5">
      <c r="A42" s="175">
        <v>1</v>
      </c>
      <c r="B42" s="171" t="s">
        <v>219</v>
      </c>
      <c r="C42" s="176"/>
      <c r="D42" s="176" t="s">
        <v>220</v>
      </c>
      <c r="E42" s="164" t="s">
        <v>221</v>
      </c>
      <c r="F42" s="177">
        <v>0.03</v>
      </c>
      <c r="G42" s="174">
        <f t="shared" si="1"/>
        <v>0.03</v>
      </c>
      <c r="H42" s="87"/>
    </row>
    <row r="43" spans="1:8" s="115" customFormat="1" ht="12.75">
      <c r="A43" s="178">
        <v>1</v>
      </c>
      <c r="B43" s="179" t="s">
        <v>152</v>
      </c>
      <c r="C43" s="176"/>
      <c r="D43" s="176" t="s">
        <v>222</v>
      </c>
      <c r="E43" s="164" t="s">
        <v>223</v>
      </c>
      <c r="F43" s="177">
        <v>0.5</v>
      </c>
      <c r="G43" s="174">
        <f t="shared" si="1"/>
        <v>0.5</v>
      </c>
      <c r="H43" s="87"/>
    </row>
    <row r="44" spans="1:8" s="115" customFormat="1" ht="12.75">
      <c r="A44" s="170">
        <v>1</v>
      </c>
      <c r="B44" s="171" t="s">
        <v>152</v>
      </c>
      <c r="C44" s="172"/>
      <c r="D44" s="172" t="s">
        <v>224</v>
      </c>
      <c r="E44" s="164" t="s">
        <v>225</v>
      </c>
      <c r="F44" s="173">
        <v>3.5</v>
      </c>
      <c r="G44" s="180">
        <f t="shared" si="1"/>
        <v>3.5</v>
      </c>
      <c r="H44" s="103"/>
    </row>
    <row r="45" spans="1:7" s="87" customFormat="1" ht="12.75">
      <c r="A45" s="162">
        <v>1</v>
      </c>
      <c r="B45" s="163" t="s">
        <v>226</v>
      </c>
      <c r="C45" s="181" t="s">
        <v>227</v>
      </c>
      <c r="D45" s="165" t="s">
        <v>228</v>
      </c>
      <c r="E45" s="164" t="s">
        <v>229</v>
      </c>
      <c r="F45" s="166">
        <v>0.7</v>
      </c>
      <c r="G45" s="167">
        <f t="shared" si="1"/>
        <v>0.7</v>
      </c>
    </row>
    <row r="46" spans="1:7" s="87" customFormat="1" ht="12.75">
      <c r="A46" s="162">
        <v>1</v>
      </c>
      <c r="B46" s="163" t="s">
        <v>141</v>
      </c>
      <c r="C46" s="181" t="s">
        <v>230</v>
      </c>
      <c r="D46" s="165" t="s">
        <v>231</v>
      </c>
      <c r="E46" s="164" t="s">
        <v>232</v>
      </c>
      <c r="F46" s="166">
        <v>2.3</v>
      </c>
      <c r="G46" s="167">
        <f t="shared" si="1"/>
        <v>2.3</v>
      </c>
    </row>
    <row r="47" spans="1:7" s="87" customFormat="1" ht="13.5" thickBot="1">
      <c r="A47" s="162">
        <v>1</v>
      </c>
      <c r="B47" s="163" t="s">
        <v>233</v>
      </c>
      <c r="C47" s="181" t="s">
        <v>234</v>
      </c>
      <c r="D47" s="165" t="s">
        <v>235</v>
      </c>
      <c r="E47" s="164" t="s">
        <v>236</v>
      </c>
      <c r="F47" s="166">
        <v>0.8</v>
      </c>
      <c r="G47" s="167">
        <f t="shared" si="1"/>
        <v>0.8</v>
      </c>
    </row>
    <row r="48" spans="1:8" ht="16.5" thickBot="1">
      <c r="A48" s="210" t="s">
        <v>272</v>
      </c>
      <c r="B48" s="211"/>
      <c r="C48" s="212"/>
      <c r="D48" s="213"/>
      <c r="E48" s="213"/>
      <c r="F48" s="214"/>
      <c r="G48" s="215">
        <f>SUM(G33:G47)</f>
        <v>32.02</v>
      </c>
      <c r="H48" s="87"/>
    </row>
    <row r="49" spans="1:8" ht="16.5" thickTop="1">
      <c r="A49" s="122"/>
      <c r="B49" s="123"/>
      <c r="C49" s="124"/>
      <c r="D49" s="125"/>
      <c r="E49" s="125"/>
      <c r="F49" s="126"/>
      <c r="G49" s="127"/>
      <c r="H49" s="87"/>
    </row>
    <row r="50" spans="1:8" ht="15.75">
      <c r="A50" s="122"/>
      <c r="B50" s="123"/>
      <c r="C50" s="124"/>
      <c r="D50" s="125"/>
      <c r="E50" s="125"/>
      <c r="F50" s="126"/>
      <c r="G50" s="127"/>
      <c r="H50" s="87"/>
    </row>
    <row r="51" spans="1:8" ht="15.75">
      <c r="A51" s="122"/>
      <c r="B51" s="123"/>
      <c r="C51" s="124"/>
      <c r="D51" s="125"/>
      <c r="E51" s="125"/>
      <c r="F51" s="126"/>
      <c r="G51" s="127"/>
      <c r="H51" s="87"/>
    </row>
    <row r="52" spans="1:8" ht="15.75">
      <c r="A52" s="122"/>
      <c r="B52" s="123"/>
      <c r="C52" s="124"/>
      <c r="D52" s="125"/>
      <c r="E52" s="125"/>
      <c r="F52" s="126"/>
      <c r="G52" s="127"/>
      <c r="H52" s="87"/>
    </row>
    <row r="53" spans="1:8" ht="15.75">
      <c r="A53" s="122"/>
      <c r="B53" s="123"/>
      <c r="C53" s="124"/>
      <c r="D53" s="125"/>
      <c r="E53" s="125"/>
      <c r="F53" s="126"/>
      <c r="G53" s="127"/>
      <c r="H53" s="87"/>
    </row>
    <row r="54" spans="1:8" ht="15.75">
      <c r="A54" s="122"/>
      <c r="B54" s="123"/>
      <c r="C54" s="124"/>
      <c r="D54" s="125"/>
      <c r="E54" s="125"/>
      <c r="F54" s="126"/>
      <c r="G54" s="127"/>
      <c r="H54" s="87"/>
    </row>
    <row r="55" spans="1:8" ht="15.75">
      <c r="A55" s="122"/>
      <c r="B55" s="123"/>
      <c r="C55" s="124"/>
      <c r="D55" s="125"/>
      <c r="E55" s="125"/>
      <c r="F55" s="126"/>
      <c r="G55" s="127"/>
      <c r="H55" s="87"/>
    </row>
    <row r="56" spans="1:8" ht="15.75">
      <c r="A56" s="122"/>
      <c r="B56" s="123"/>
      <c r="C56" s="124"/>
      <c r="D56" s="125"/>
      <c r="E56" s="125"/>
      <c r="F56" s="126"/>
      <c r="G56" s="127"/>
      <c r="H56" s="87"/>
    </row>
    <row r="57" spans="1:8" ht="15.75">
      <c r="A57" s="122"/>
      <c r="B57" s="123"/>
      <c r="C57" s="124"/>
      <c r="D57" s="125"/>
      <c r="E57" s="125"/>
      <c r="F57" s="126"/>
      <c r="G57" s="127"/>
      <c r="H57" s="87"/>
    </row>
    <row r="58" spans="1:8" ht="15.75">
      <c r="A58" s="122"/>
      <c r="B58" s="123"/>
      <c r="C58" s="124"/>
      <c r="D58" s="125"/>
      <c r="E58" s="125"/>
      <c r="F58" s="126"/>
      <c r="G58" s="127"/>
      <c r="H58" s="87"/>
    </row>
    <row r="59" spans="1:8" ht="15.75">
      <c r="A59" s="122"/>
      <c r="B59" s="123"/>
      <c r="C59" s="124"/>
      <c r="D59" s="125"/>
      <c r="E59" s="125"/>
      <c r="F59" s="126"/>
      <c r="G59" s="127"/>
      <c r="H59" s="87"/>
    </row>
    <row r="60" spans="1:8" ht="15.75">
      <c r="A60" s="122"/>
      <c r="B60" s="123"/>
      <c r="C60" s="124"/>
      <c r="D60" s="125"/>
      <c r="E60" s="125"/>
      <c r="F60" s="126"/>
      <c r="G60" s="127"/>
      <c r="H60" s="87"/>
    </row>
    <row r="61" spans="1:8" ht="15.75">
      <c r="A61" s="122"/>
      <c r="B61" s="123"/>
      <c r="C61" s="124"/>
      <c r="D61" s="125"/>
      <c r="E61" s="125"/>
      <c r="F61" s="126"/>
      <c r="G61" s="127"/>
      <c r="H61" s="87"/>
    </row>
    <row r="62" spans="1:8" ht="15.75">
      <c r="A62" s="122"/>
      <c r="B62" s="123"/>
      <c r="C62" s="124"/>
      <c r="D62" s="125"/>
      <c r="E62" s="125"/>
      <c r="F62" s="126"/>
      <c r="G62" s="127"/>
      <c r="H62" s="87"/>
    </row>
    <row r="63" spans="1:8" ht="15.75">
      <c r="A63" s="122"/>
      <c r="B63" s="123"/>
      <c r="C63" s="124"/>
      <c r="D63" s="125"/>
      <c r="E63" s="125"/>
      <c r="F63" s="126"/>
      <c r="G63" s="127"/>
      <c r="H63" s="87"/>
    </row>
    <row r="64" spans="1:8" ht="15.75">
      <c r="A64" s="122"/>
      <c r="B64" s="123"/>
      <c r="C64" s="124"/>
      <c r="D64" s="125"/>
      <c r="E64" s="125"/>
      <c r="F64" s="126"/>
      <c r="G64" s="127"/>
      <c r="H64" s="87"/>
    </row>
    <row r="65" spans="1:8" ht="16.5" thickBot="1">
      <c r="A65" s="122"/>
      <c r="B65" s="123"/>
      <c r="C65" s="124"/>
      <c r="D65" s="125"/>
      <c r="E65" s="125"/>
      <c r="F65" s="126"/>
      <c r="G65" s="127"/>
      <c r="H65" s="87"/>
    </row>
    <row r="66" spans="1:8" ht="17.25" customHeight="1" thickTop="1">
      <c r="A66" s="280" t="s">
        <v>315</v>
      </c>
      <c r="B66" s="281"/>
      <c r="C66" s="281"/>
      <c r="D66" s="281"/>
      <c r="E66" s="281"/>
      <c r="F66" s="281"/>
      <c r="G66" s="282"/>
      <c r="H66" s="87"/>
    </row>
    <row r="67" spans="1:8" ht="12.75">
      <c r="A67" s="286" t="s">
        <v>132</v>
      </c>
      <c r="B67" s="287"/>
      <c r="C67" s="287"/>
      <c r="D67" s="287" t="s">
        <v>133</v>
      </c>
      <c r="E67" s="287"/>
      <c r="F67" s="287"/>
      <c r="G67" s="288"/>
      <c r="H67" s="87"/>
    </row>
    <row r="68" spans="1:8" ht="12.75">
      <c r="A68" s="289" t="s">
        <v>134</v>
      </c>
      <c r="B68" s="290"/>
      <c r="C68" s="290"/>
      <c r="D68" s="291"/>
      <c r="E68" s="291"/>
      <c r="F68" s="291"/>
      <c r="G68" s="292"/>
      <c r="H68" s="87"/>
    </row>
    <row r="69" spans="1:8" ht="18" customHeight="1" thickBot="1">
      <c r="A69" s="283" t="s">
        <v>135</v>
      </c>
      <c r="B69" s="284"/>
      <c r="C69" s="284"/>
      <c r="D69" s="284"/>
      <c r="E69" s="284"/>
      <c r="F69" s="284"/>
      <c r="G69" s="285"/>
      <c r="H69" s="87"/>
    </row>
    <row r="70" spans="1:8" ht="18" customHeight="1" thickBot="1" thickTop="1">
      <c r="A70" s="293"/>
      <c r="B70" s="294"/>
      <c r="C70" s="294"/>
      <c r="D70" s="294"/>
      <c r="E70" s="294"/>
      <c r="F70" s="294"/>
      <c r="G70" s="295"/>
      <c r="H70" s="87"/>
    </row>
    <row r="71" spans="1:8" s="115" customFormat="1" ht="13.5" thickTop="1">
      <c r="A71" s="92">
        <v>1</v>
      </c>
      <c r="B71" s="99" t="s">
        <v>238</v>
      </c>
      <c r="C71" s="94" t="s">
        <v>284</v>
      </c>
      <c r="D71" s="95" t="s">
        <v>143</v>
      </c>
      <c r="E71" s="96" t="s">
        <v>285</v>
      </c>
      <c r="F71" s="97"/>
      <c r="G71" s="98">
        <f aca="true" t="shared" si="2" ref="G71:G96">A71*F71</f>
        <v>0</v>
      </c>
      <c r="H71" s="87"/>
    </row>
    <row r="72" spans="1:7" s="87" customFormat="1" ht="12.75">
      <c r="A72" s="100">
        <v>4</v>
      </c>
      <c r="B72" s="99" t="s">
        <v>238</v>
      </c>
      <c r="C72" s="202" t="s">
        <v>158</v>
      </c>
      <c r="D72" s="94" t="s">
        <v>290</v>
      </c>
      <c r="E72" s="94" t="s">
        <v>160</v>
      </c>
      <c r="F72" s="101"/>
      <c r="G72" s="102">
        <f t="shared" si="2"/>
        <v>0</v>
      </c>
    </row>
    <row r="73" spans="1:8" s="87" customFormat="1" ht="12.75">
      <c r="A73" s="100">
        <v>2</v>
      </c>
      <c r="B73" s="99" t="s">
        <v>238</v>
      </c>
      <c r="C73" s="94"/>
      <c r="D73" s="94" t="s">
        <v>159</v>
      </c>
      <c r="E73" s="94" t="s">
        <v>160</v>
      </c>
      <c r="F73" s="101"/>
      <c r="G73" s="102">
        <f t="shared" si="2"/>
        <v>0</v>
      </c>
      <c r="H73" s="103"/>
    </row>
    <row r="74" spans="1:7" s="87" customFormat="1" ht="12.75">
      <c r="A74" s="100">
        <v>2</v>
      </c>
      <c r="B74" s="99" t="s">
        <v>238</v>
      </c>
      <c r="C74" s="202" t="s">
        <v>163</v>
      </c>
      <c r="D74" s="94" t="s">
        <v>159</v>
      </c>
      <c r="E74" s="94" t="s">
        <v>164</v>
      </c>
      <c r="F74" s="101"/>
      <c r="G74" s="102">
        <f t="shared" si="2"/>
        <v>0</v>
      </c>
    </row>
    <row r="75" spans="1:7" s="87" customFormat="1" ht="12.75">
      <c r="A75" s="100">
        <v>1</v>
      </c>
      <c r="B75" s="99" t="s">
        <v>238</v>
      </c>
      <c r="C75" s="202" t="s">
        <v>166</v>
      </c>
      <c r="D75" s="94" t="s">
        <v>291</v>
      </c>
      <c r="E75" s="94" t="s">
        <v>292</v>
      </c>
      <c r="F75" s="101"/>
      <c r="G75" s="102">
        <f t="shared" si="2"/>
        <v>0</v>
      </c>
    </row>
    <row r="76" spans="1:7" s="87" customFormat="1" ht="12.75">
      <c r="A76" s="100">
        <v>3</v>
      </c>
      <c r="B76" s="99" t="s">
        <v>238</v>
      </c>
      <c r="C76" s="129" t="s">
        <v>185</v>
      </c>
      <c r="D76" s="94" t="s">
        <v>186</v>
      </c>
      <c r="E76" s="111" t="s">
        <v>187</v>
      </c>
      <c r="F76" s="112"/>
      <c r="G76" s="102">
        <f t="shared" si="2"/>
        <v>0</v>
      </c>
    </row>
    <row r="77" spans="1:7" s="87" customFormat="1" ht="12.75">
      <c r="A77" s="100">
        <v>2</v>
      </c>
      <c r="B77" s="99" t="s">
        <v>238</v>
      </c>
      <c r="C77" s="129" t="s">
        <v>189</v>
      </c>
      <c r="D77" s="94" t="s">
        <v>186</v>
      </c>
      <c r="E77" s="111" t="s">
        <v>190</v>
      </c>
      <c r="F77" s="112"/>
      <c r="G77" s="102">
        <f t="shared" si="2"/>
        <v>0</v>
      </c>
    </row>
    <row r="78" spans="1:7" s="87" customFormat="1" ht="12.75">
      <c r="A78" s="100">
        <v>2</v>
      </c>
      <c r="B78" s="99" t="s">
        <v>238</v>
      </c>
      <c r="C78" s="129" t="s">
        <v>192</v>
      </c>
      <c r="D78" s="94" t="s">
        <v>186</v>
      </c>
      <c r="E78" s="111" t="s">
        <v>193</v>
      </c>
      <c r="F78" s="112"/>
      <c r="G78" s="102">
        <f t="shared" si="2"/>
        <v>0</v>
      </c>
    </row>
    <row r="79" spans="1:7" s="87" customFormat="1" ht="12.75">
      <c r="A79" s="100">
        <v>1</v>
      </c>
      <c r="B79" s="99" t="s">
        <v>238</v>
      </c>
      <c r="C79" s="204" t="s">
        <v>298</v>
      </c>
      <c r="D79" s="94" t="s">
        <v>196</v>
      </c>
      <c r="E79" s="111" t="s">
        <v>243</v>
      </c>
      <c r="F79" s="112"/>
      <c r="G79" s="203">
        <f t="shared" si="2"/>
        <v>0</v>
      </c>
    </row>
    <row r="80" spans="1:7" s="87" customFormat="1" ht="12.75">
      <c r="A80" s="104">
        <v>1</v>
      </c>
      <c r="B80" s="105" t="s">
        <v>238</v>
      </c>
      <c r="C80" s="219" t="s">
        <v>300</v>
      </c>
      <c r="D80" s="106" t="s">
        <v>301</v>
      </c>
      <c r="E80" s="108" t="s">
        <v>302</v>
      </c>
      <c r="F80" s="109"/>
      <c r="G80" s="107">
        <f t="shared" si="2"/>
        <v>0</v>
      </c>
    </row>
    <row r="81" spans="1:7" s="87" customFormat="1" ht="12.75">
      <c r="A81" s="104">
        <v>1</v>
      </c>
      <c r="B81" s="105" t="s">
        <v>238</v>
      </c>
      <c r="C81" s="219" t="s">
        <v>304</v>
      </c>
      <c r="D81" s="106" t="s">
        <v>305</v>
      </c>
      <c r="E81" s="108" t="s">
        <v>306</v>
      </c>
      <c r="F81" s="109"/>
      <c r="G81" s="107">
        <f t="shared" si="2"/>
        <v>0</v>
      </c>
    </row>
    <row r="82" spans="1:7" s="87" customFormat="1" ht="12.75">
      <c r="A82" s="104">
        <v>1</v>
      </c>
      <c r="B82" s="105" t="s">
        <v>238</v>
      </c>
      <c r="C82" s="219" t="s">
        <v>309</v>
      </c>
      <c r="D82" s="106" t="s">
        <v>310</v>
      </c>
      <c r="E82" s="108" t="s">
        <v>311</v>
      </c>
      <c r="F82" s="109"/>
      <c r="G82" s="107">
        <f t="shared" si="2"/>
        <v>0</v>
      </c>
    </row>
    <row r="83" spans="1:7" s="87" customFormat="1" ht="12.75">
      <c r="A83" s="100">
        <v>1</v>
      </c>
      <c r="B83" s="99" t="s">
        <v>238</v>
      </c>
      <c r="C83" s="113"/>
      <c r="D83" s="129" t="s">
        <v>313</v>
      </c>
      <c r="E83" s="111" t="s">
        <v>316</v>
      </c>
      <c r="F83" s="114"/>
      <c r="G83" s="102">
        <f t="shared" si="2"/>
        <v>0</v>
      </c>
    </row>
    <row r="84" spans="1:7" s="87" customFormat="1" ht="12.75">
      <c r="A84" s="100">
        <v>1</v>
      </c>
      <c r="B84" s="99" t="s">
        <v>238</v>
      </c>
      <c r="C84" s="129" t="s">
        <v>244</v>
      </c>
      <c r="D84" s="94" t="s">
        <v>205</v>
      </c>
      <c r="E84" s="94" t="s">
        <v>206</v>
      </c>
      <c r="F84" s="101"/>
      <c r="G84" s="102">
        <f t="shared" si="2"/>
        <v>0</v>
      </c>
    </row>
    <row r="85" spans="1:7" s="113" customFormat="1" ht="12.75">
      <c r="A85" s="100">
        <v>3</v>
      </c>
      <c r="B85" s="99" t="s">
        <v>238</v>
      </c>
      <c r="C85" s="129"/>
      <c r="D85" s="94" t="s">
        <v>208</v>
      </c>
      <c r="E85" s="111" t="s">
        <v>209</v>
      </c>
      <c r="F85" s="112"/>
      <c r="G85" s="102">
        <f t="shared" si="2"/>
        <v>0</v>
      </c>
    </row>
    <row r="86" spans="1:7" s="113" customFormat="1" ht="12.75">
      <c r="A86" s="100">
        <v>3</v>
      </c>
      <c r="B86" s="99" t="s">
        <v>238</v>
      </c>
      <c r="C86" s="129"/>
      <c r="D86" s="94" t="s">
        <v>211</v>
      </c>
      <c r="E86" s="111" t="s">
        <v>212</v>
      </c>
      <c r="F86" s="112"/>
      <c r="G86" s="102">
        <f t="shared" si="2"/>
        <v>0</v>
      </c>
    </row>
    <row r="87" spans="1:7" s="113" customFormat="1" ht="12.75">
      <c r="A87" s="100">
        <v>1</v>
      </c>
      <c r="B87" s="99" t="s">
        <v>238</v>
      </c>
      <c r="C87" s="129" t="s">
        <v>227</v>
      </c>
      <c r="D87" s="94" t="s">
        <v>228</v>
      </c>
      <c r="E87" s="111" t="s">
        <v>229</v>
      </c>
      <c r="F87" s="112"/>
      <c r="G87" s="102">
        <f t="shared" si="2"/>
        <v>0</v>
      </c>
    </row>
    <row r="88" spans="1:7" s="113" customFormat="1" ht="12.75">
      <c r="A88" s="100">
        <v>1</v>
      </c>
      <c r="B88" s="99" t="s">
        <v>238</v>
      </c>
      <c r="C88" s="129" t="s">
        <v>230</v>
      </c>
      <c r="D88" s="94" t="s">
        <v>231</v>
      </c>
      <c r="E88" s="111" t="s">
        <v>232</v>
      </c>
      <c r="F88" s="112"/>
      <c r="G88" s="102">
        <f t="shared" si="2"/>
        <v>0</v>
      </c>
    </row>
    <row r="89" spans="1:7" s="113" customFormat="1" ht="12.75">
      <c r="A89" s="100">
        <v>1</v>
      </c>
      <c r="B89" s="99" t="s">
        <v>238</v>
      </c>
      <c r="C89" s="129" t="s">
        <v>234</v>
      </c>
      <c r="D89" s="94" t="s">
        <v>235</v>
      </c>
      <c r="E89" s="111" t="s">
        <v>236</v>
      </c>
      <c r="F89" s="112"/>
      <c r="G89" s="102">
        <f t="shared" si="2"/>
        <v>0</v>
      </c>
    </row>
    <row r="90" spans="1:7" s="113" customFormat="1" ht="13.5" customHeight="1">
      <c r="A90" s="100">
        <v>1</v>
      </c>
      <c r="B90" s="89" t="s">
        <v>82</v>
      </c>
      <c r="C90" s="94"/>
      <c r="D90" s="94"/>
      <c r="E90" s="130"/>
      <c r="F90" s="131">
        <v>100</v>
      </c>
      <c r="G90" s="132">
        <f t="shared" si="2"/>
        <v>100</v>
      </c>
    </row>
    <row r="91" spans="1:7" s="113" customFormat="1" ht="13.5" customHeight="1">
      <c r="A91" s="100">
        <v>1</v>
      </c>
      <c r="B91" s="99"/>
      <c r="C91" s="94" t="s">
        <v>245</v>
      </c>
      <c r="D91" s="94"/>
      <c r="E91" s="94" t="s">
        <v>246</v>
      </c>
      <c r="F91" s="133">
        <v>60</v>
      </c>
      <c r="G91" s="102">
        <f t="shared" si="2"/>
        <v>60</v>
      </c>
    </row>
    <row r="92" spans="1:7" s="113" customFormat="1" ht="12.75">
      <c r="A92" s="100">
        <v>1</v>
      </c>
      <c r="B92" s="99"/>
      <c r="C92" s="94" t="s">
        <v>247</v>
      </c>
      <c r="D92" s="94"/>
      <c r="E92" s="94" t="s">
        <v>248</v>
      </c>
      <c r="F92" s="133">
        <v>20</v>
      </c>
      <c r="G92" s="102">
        <f t="shared" si="2"/>
        <v>20</v>
      </c>
    </row>
    <row r="93" spans="1:7" s="113" customFormat="1" ht="12.75">
      <c r="A93" s="100">
        <v>1</v>
      </c>
      <c r="B93" s="99"/>
      <c r="C93" s="94" t="s">
        <v>249</v>
      </c>
      <c r="D93" s="94"/>
      <c r="E93" s="94" t="s">
        <v>250</v>
      </c>
      <c r="F93" s="133">
        <v>15</v>
      </c>
      <c r="G93" s="102">
        <f t="shared" si="2"/>
        <v>15</v>
      </c>
    </row>
    <row r="94" spans="1:7" s="113" customFormat="1" ht="12.75">
      <c r="A94" s="100">
        <v>1</v>
      </c>
      <c r="B94" s="99"/>
      <c r="C94" s="94" t="s">
        <v>251</v>
      </c>
      <c r="D94" s="94"/>
      <c r="E94" s="94" t="s">
        <v>252</v>
      </c>
      <c r="F94" s="133">
        <v>10</v>
      </c>
      <c r="G94" s="102">
        <f t="shared" si="2"/>
        <v>10</v>
      </c>
    </row>
    <row r="95" spans="1:8" s="113" customFormat="1" ht="12.75">
      <c r="A95" s="100">
        <v>1</v>
      </c>
      <c r="B95" s="99"/>
      <c r="C95" s="94" t="s">
        <v>253</v>
      </c>
      <c r="D95" s="94"/>
      <c r="E95" s="94" t="s">
        <v>248</v>
      </c>
      <c r="F95" s="133">
        <v>15</v>
      </c>
      <c r="G95" s="102">
        <f t="shared" si="2"/>
        <v>15</v>
      </c>
      <c r="H95" s="220"/>
    </row>
    <row r="96" spans="1:7" s="113" customFormat="1" ht="12.75">
      <c r="A96" s="205">
        <v>1</v>
      </c>
      <c r="B96" s="99"/>
      <c r="C96" s="94" t="s">
        <v>254</v>
      </c>
      <c r="D96" s="94"/>
      <c r="E96" s="94" t="s">
        <v>252</v>
      </c>
      <c r="F96" s="133">
        <v>15</v>
      </c>
      <c r="G96" s="102">
        <f t="shared" si="2"/>
        <v>15</v>
      </c>
    </row>
    <row r="97" spans="1:8" s="113" customFormat="1" ht="12.75">
      <c r="A97" s="100"/>
      <c r="B97" s="99"/>
      <c r="C97" s="94"/>
      <c r="D97" s="94"/>
      <c r="E97" s="94"/>
      <c r="F97" s="133"/>
      <c r="G97" s="102"/>
      <c r="H97" s="220"/>
    </row>
    <row r="98" spans="1:8" s="113" customFormat="1" ht="13.5" thickBot="1">
      <c r="A98" s="100">
        <v>1</v>
      </c>
      <c r="B98" s="99"/>
      <c r="C98" s="94" t="s">
        <v>255</v>
      </c>
      <c r="D98" s="94"/>
      <c r="E98" s="94"/>
      <c r="F98" s="133">
        <v>45</v>
      </c>
      <c r="G98" s="102">
        <f>A98*F98</f>
        <v>45</v>
      </c>
      <c r="H98" s="220"/>
    </row>
    <row r="99" spans="1:7" s="113" customFormat="1" ht="16.5" thickBot="1">
      <c r="A99" s="116" t="s">
        <v>256</v>
      </c>
      <c r="B99" s="134"/>
      <c r="C99" s="119"/>
      <c r="D99" s="135"/>
      <c r="E99" s="135"/>
      <c r="F99" s="136"/>
      <c r="G99" s="137">
        <f>SUM(G90:G98)</f>
        <v>280</v>
      </c>
    </row>
    <row r="100" spans="1:7" s="113" customFormat="1" ht="14.25" thickBot="1" thickTop="1">
      <c r="A100" s="221"/>
      <c r="B100" s="221"/>
      <c r="C100" s="125"/>
      <c r="D100" s="125"/>
      <c r="E100" s="125"/>
      <c r="F100" s="222"/>
      <c r="G100" s="222"/>
    </row>
    <row r="101" spans="1:7" s="113" customFormat="1" ht="19.5" thickBot="1" thickTop="1">
      <c r="A101" s="139" t="s">
        <v>257</v>
      </c>
      <c r="B101" s="223"/>
      <c r="C101" s="224"/>
      <c r="D101" s="224"/>
      <c r="E101" s="224"/>
      <c r="F101" s="142"/>
      <c r="G101" s="143">
        <f>G48+G99</f>
        <v>312.02</v>
      </c>
    </row>
    <row r="102" spans="1:7" s="113" customFormat="1" ht="13.5" thickTop="1">
      <c r="A102" s="225"/>
      <c r="B102" s="225"/>
      <c r="F102" s="222"/>
      <c r="G102" s="222"/>
    </row>
    <row r="103" spans="1:7" ht="12.75">
      <c r="A103" s="146"/>
      <c r="B103" s="138"/>
      <c r="C103" s="124"/>
      <c r="D103" s="124"/>
      <c r="E103" s="124"/>
      <c r="F103" s="126"/>
      <c r="G103" s="126"/>
    </row>
    <row r="104" spans="1:7" ht="12.75">
      <c r="A104" s="146"/>
      <c r="B104" s="138"/>
      <c r="C104" s="124"/>
      <c r="D104" s="124"/>
      <c r="E104" s="124"/>
      <c r="F104" s="126"/>
      <c r="G104" s="126"/>
    </row>
    <row r="105" spans="1:7" ht="12.75">
      <c r="A105" s="138"/>
      <c r="B105" s="138"/>
      <c r="C105" s="124"/>
      <c r="D105" s="124"/>
      <c r="E105" s="124"/>
      <c r="F105" s="126"/>
      <c r="G105" s="126"/>
    </row>
    <row r="106" spans="1:7" ht="12.75">
      <c r="A106" s="138"/>
      <c r="B106" s="138"/>
      <c r="C106" s="124"/>
      <c r="D106" s="124"/>
      <c r="E106" s="124"/>
      <c r="F106" s="126"/>
      <c r="G106" s="126"/>
    </row>
    <row r="107" spans="1:7" ht="12.75">
      <c r="A107" s="138"/>
      <c r="B107" s="138"/>
      <c r="C107" s="124"/>
      <c r="D107" s="124"/>
      <c r="E107" s="124"/>
      <c r="F107" s="126"/>
      <c r="G107" s="126"/>
    </row>
    <row r="108" spans="1:7" ht="12.75">
      <c r="A108" s="138"/>
      <c r="B108" s="138"/>
      <c r="C108" s="124"/>
      <c r="D108" s="124"/>
      <c r="E108" s="124"/>
      <c r="F108" s="126"/>
      <c r="G108" s="126"/>
    </row>
    <row r="109" spans="1:7" ht="12.75">
      <c r="A109" s="138"/>
      <c r="B109" s="138"/>
      <c r="C109" s="124"/>
      <c r="D109" s="124"/>
      <c r="E109" s="124"/>
      <c r="F109" s="126"/>
      <c r="G109" s="126"/>
    </row>
    <row r="110" spans="1:7" ht="12.75">
      <c r="A110" s="138"/>
      <c r="B110" s="138"/>
      <c r="C110" s="147"/>
      <c r="D110" s="124"/>
      <c r="E110" s="124"/>
      <c r="F110" s="126"/>
      <c r="G110" s="126"/>
    </row>
    <row r="111" spans="1:7" ht="12.75">
      <c r="A111" s="138"/>
      <c r="B111" s="138"/>
      <c r="C111" s="147"/>
      <c r="D111" s="125"/>
      <c r="E111" s="125"/>
      <c r="F111" s="126"/>
      <c r="G111" s="126"/>
    </row>
    <row r="112" spans="1:7" ht="12.75">
      <c r="A112" s="138"/>
      <c r="B112" s="138"/>
      <c r="C112" s="124"/>
      <c r="D112" s="124"/>
      <c r="E112" s="124"/>
      <c r="F112" s="126"/>
      <c r="G112" s="126"/>
    </row>
    <row r="113" spans="1:7" ht="12.75">
      <c r="A113" s="138"/>
      <c r="B113" s="138"/>
      <c r="C113" s="124"/>
      <c r="D113" s="124"/>
      <c r="E113" s="124"/>
      <c r="F113" s="126"/>
      <c r="G113" s="126"/>
    </row>
    <row r="114" spans="1:7" ht="12.75">
      <c r="A114" s="138"/>
      <c r="B114" s="138"/>
      <c r="C114" s="124"/>
      <c r="D114" s="124"/>
      <c r="E114" s="124"/>
      <c r="F114" s="126"/>
      <c r="G114" s="126"/>
    </row>
    <row r="115" spans="1:7" ht="12.75">
      <c r="A115" s="138"/>
      <c r="B115" s="138"/>
      <c r="C115" s="124"/>
      <c r="D115" s="124"/>
      <c r="E115" s="124"/>
      <c r="F115" s="126"/>
      <c r="G115" s="126"/>
    </row>
    <row r="116" spans="1:7" ht="12.75">
      <c r="A116" s="138"/>
      <c r="B116" s="138"/>
      <c r="C116" s="124"/>
      <c r="D116" s="124"/>
      <c r="E116" s="124"/>
      <c r="F116" s="126"/>
      <c r="G116" s="126"/>
    </row>
    <row r="117" spans="1:7" ht="12.75">
      <c r="A117" s="138"/>
      <c r="B117" s="138"/>
      <c r="C117" s="124"/>
      <c r="D117" s="124"/>
      <c r="E117" s="124"/>
      <c r="F117" s="126"/>
      <c r="G117" s="126"/>
    </row>
    <row r="118" spans="1:7" ht="12.75">
      <c r="A118" s="138"/>
      <c r="B118" s="138"/>
      <c r="C118" s="124"/>
      <c r="D118" s="124"/>
      <c r="E118" s="124"/>
      <c r="F118" s="126"/>
      <c r="G118" s="126"/>
    </row>
    <row r="119" spans="1:7" ht="12.75">
      <c r="A119" s="138"/>
      <c r="B119" s="138"/>
      <c r="C119" s="124"/>
      <c r="D119" s="124"/>
      <c r="E119" s="124"/>
      <c r="F119" s="126"/>
      <c r="G119" s="126"/>
    </row>
    <row r="120" spans="1:7" ht="12.75">
      <c r="A120" s="138"/>
      <c r="B120" s="138"/>
      <c r="C120" s="124"/>
      <c r="D120" s="124"/>
      <c r="E120" s="124"/>
      <c r="F120" s="126"/>
      <c r="G120" s="126"/>
    </row>
    <row r="121" spans="1:7" ht="12.75">
      <c r="A121" s="138"/>
      <c r="B121" s="138"/>
      <c r="C121" s="124"/>
      <c r="D121" s="124"/>
      <c r="E121" s="124"/>
      <c r="F121" s="126"/>
      <c r="G121" s="126"/>
    </row>
    <row r="122" spans="1:7" ht="12.75">
      <c r="A122" s="138"/>
      <c r="B122" s="138"/>
      <c r="C122" s="124"/>
      <c r="D122" s="124"/>
      <c r="E122" s="124"/>
      <c r="F122" s="126"/>
      <c r="G122" s="126"/>
    </row>
    <row r="123" spans="1:7" ht="12.75">
      <c r="A123" s="138"/>
      <c r="B123" s="138"/>
      <c r="C123" s="124"/>
      <c r="D123" s="124"/>
      <c r="E123" s="124"/>
      <c r="F123" s="126"/>
      <c r="G123" s="126"/>
    </row>
    <row r="124" spans="1:7" ht="12.75">
      <c r="A124" s="138"/>
      <c r="B124" s="138"/>
      <c r="C124" s="124"/>
      <c r="D124" s="124"/>
      <c r="E124" s="124"/>
      <c r="F124" s="126"/>
      <c r="G124" s="126"/>
    </row>
    <row r="125" spans="1:7" ht="12.75">
      <c r="A125" s="138"/>
      <c r="B125" s="138"/>
      <c r="C125" s="124"/>
      <c r="D125" s="124"/>
      <c r="E125" s="124"/>
      <c r="F125" s="126"/>
      <c r="G125" s="126"/>
    </row>
    <row r="126" spans="1:7" ht="12.75">
      <c r="A126" s="138"/>
      <c r="B126" s="138"/>
      <c r="C126" s="124"/>
      <c r="D126" s="124"/>
      <c r="E126" s="124"/>
      <c r="F126" s="126"/>
      <c r="G126" s="126"/>
    </row>
    <row r="127" spans="1:7" ht="12.75">
      <c r="A127" s="138"/>
      <c r="B127" s="138"/>
      <c r="C127" s="124"/>
      <c r="D127" s="124"/>
      <c r="E127" s="124"/>
      <c r="F127" s="126"/>
      <c r="G127" s="126"/>
    </row>
    <row r="128" spans="1:7" ht="12.75">
      <c r="A128" s="138"/>
      <c r="B128" s="138"/>
      <c r="C128" s="124"/>
      <c r="D128" s="124"/>
      <c r="E128" s="124"/>
      <c r="F128" s="126"/>
      <c r="G128" s="126"/>
    </row>
    <row r="129" spans="1:7" ht="12.75">
      <c r="A129" s="138"/>
      <c r="B129" s="138"/>
      <c r="C129" s="124"/>
      <c r="D129" s="124"/>
      <c r="E129" s="124"/>
      <c r="F129" s="126"/>
      <c r="G129" s="126"/>
    </row>
    <row r="130" spans="1:7" ht="12.75">
      <c r="A130" s="138"/>
      <c r="B130" s="138"/>
      <c r="C130" s="124"/>
      <c r="D130" s="124"/>
      <c r="E130" s="124"/>
      <c r="F130" s="126"/>
      <c r="G130" s="126"/>
    </row>
    <row r="131" spans="1:7" ht="12.75">
      <c r="A131" s="138"/>
      <c r="B131" s="138"/>
      <c r="C131" s="124"/>
      <c r="D131" s="124"/>
      <c r="E131" s="124"/>
      <c r="F131" s="126"/>
      <c r="G131" s="148"/>
    </row>
    <row r="132" spans="1:7" ht="12.75">
      <c r="A132" s="138"/>
      <c r="B132" s="138"/>
      <c r="C132" s="124"/>
      <c r="D132" s="149"/>
      <c r="E132" s="149"/>
      <c r="F132" s="149"/>
      <c r="G132" s="149"/>
    </row>
    <row r="133" spans="1:7" ht="12.75">
      <c r="A133" s="138"/>
      <c r="B133" s="138"/>
      <c r="C133" s="124"/>
      <c r="D133" s="124"/>
      <c r="E133" s="124"/>
      <c r="F133" s="126"/>
      <c r="G133" s="126"/>
    </row>
    <row r="134" spans="1:7" ht="12.75">
      <c r="A134" s="138"/>
      <c r="B134" s="138"/>
      <c r="C134" s="124"/>
      <c r="D134" s="124"/>
      <c r="E134" s="124"/>
      <c r="F134" s="126"/>
      <c r="G134" s="126"/>
    </row>
    <row r="135" spans="1:7" ht="12.75">
      <c r="A135" s="138"/>
      <c r="B135" s="138"/>
      <c r="C135" s="124"/>
      <c r="D135" s="124"/>
      <c r="E135" s="124"/>
      <c r="F135" s="126"/>
      <c r="G135" s="126"/>
    </row>
    <row r="136" spans="1:7" ht="12.75">
      <c r="A136" s="138"/>
      <c r="B136" s="138"/>
      <c r="C136" s="124"/>
      <c r="D136" s="124"/>
      <c r="E136" s="124"/>
      <c r="F136" s="126"/>
      <c r="G136" s="126"/>
    </row>
    <row r="137" spans="1:7" ht="12.75">
      <c r="A137" s="138"/>
      <c r="B137" s="138"/>
      <c r="C137" s="124"/>
      <c r="D137" s="124"/>
      <c r="E137" s="124"/>
      <c r="F137" s="126"/>
      <c r="G137" s="126"/>
    </row>
    <row r="138" spans="1:7" ht="12.75">
      <c r="A138" s="138"/>
      <c r="B138" s="138"/>
      <c r="C138" s="124"/>
      <c r="D138" s="124"/>
      <c r="E138" s="124"/>
      <c r="F138" s="126"/>
      <c r="G138" s="126"/>
    </row>
    <row r="139" spans="1:7" ht="12.75">
      <c r="A139" s="138"/>
      <c r="B139" s="138"/>
      <c r="C139" s="124"/>
      <c r="D139" s="124"/>
      <c r="E139" s="124"/>
      <c r="F139" s="126"/>
      <c r="G139" s="126"/>
    </row>
    <row r="140" spans="1:7" ht="12.75">
      <c r="A140" s="138"/>
      <c r="B140" s="138"/>
      <c r="C140" s="124"/>
      <c r="D140" s="124"/>
      <c r="E140" s="124"/>
      <c r="F140" s="126"/>
      <c r="G140" s="126"/>
    </row>
    <row r="141" spans="1:7" ht="12.75">
      <c r="A141" s="138"/>
      <c r="B141" s="138"/>
      <c r="C141" s="124"/>
      <c r="D141" s="124"/>
      <c r="E141" s="124"/>
      <c r="F141" s="126"/>
      <c r="G141" s="126"/>
    </row>
    <row r="142" spans="1:7" ht="12.75">
      <c r="A142" s="138"/>
      <c r="B142" s="138"/>
      <c r="C142" s="124"/>
      <c r="D142" s="124"/>
      <c r="E142" s="124"/>
      <c r="F142" s="126"/>
      <c r="G142" s="126"/>
    </row>
    <row r="143" spans="1:7" ht="12.75">
      <c r="A143" s="138"/>
      <c r="B143" s="138"/>
      <c r="C143" s="124"/>
      <c r="D143" s="124"/>
      <c r="E143" s="124"/>
      <c r="F143" s="126"/>
      <c r="G143" s="126"/>
    </row>
    <row r="144" spans="1:7" ht="12.75">
      <c r="A144" s="138"/>
      <c r="B144" s="138"/>
      <c r="C144" s="124"/>
      <c r="D144" s="124"/>
      <c r="E144" s="124"/>
      <c r="F144" s="126"/>
      <c r="G144" s="126"/>
    </row>
    <row r="145" spans="1:7" ht="12.75">
      <c r="A145" s="138"/>
      <c r="B145" s="138"/>
      <c r="C145" s="124"/>
      <c r="D145" s="124"/>
      <c r="E145" s="124"/>
      <c r="F145" s="126"/>
      <c r="G145" s="126"/>
    </row>
    <row r="146" spans="1:7" ht="12.75">
      <c r="A146" s="138"/>
      <c r="B146" s="138"/>
      <c r="C146" s="124"/>
      <c r="D146" s="124"/>
      <c r="E146" s="124"/>
      <c r="F146" s="126"/>
      <c r="G146" s="126"/>
    </row>
    <row r="147" spans="1:7" ht="12.75">
      <c r="A147" s="138"/>
      <c r="B147" s="138"/>
      <c r="C147" s="124"/>
      <c r="D147" s="124"/>
      <c r="E147" s="124"/>
      <c r="F147" s="126"/>
      <c r="G147" s="126"/>
    </row>
    <row r="148" spans="1:7" ht="12.75">
      <c r="A148" s="138"/>
      <c r="B148" s="138"/>
      <c r="C148" s="124"/>
      <c r="D148" s="124"/>
      <c r="E148" s="124"/>
      <c r="F148" s="126"/>
      <c r="G148" s="126"/>
    </row>
  </sheetData>
  <mergeCells count="13">
    <mergeCell ref="A69:G69"/>
    <mergeCell ref="A70:G70"/>
    <mergeCell ref="A67:C67"/>
    <mergeCell ref="D67:G67"/>
    <mergeCell ref="A68:C68"/>
    <mergeCell ref="D68:G68"/>
    <mergeCell ref="A66:G66"/>
    <mergeCell ref="A4:G4"/>
    <mergeCell ref="A1:G1"/>
    <mergeCell ref="A2:C2"/>
    <mergeCell ref="D2:G2"/>
    <mergeCell ref="A3:C3"/>
    <mergeCell ref="D3:G3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D4" sqref="D4"/>
    </sheetView>
  </sheetViews>
  <sheetFormatPr defaultColWidth="9.140625" defaultRowHeight="12.75"/>
  <sheetData>
    <row r="2" spans="3:4" ht="12.75">
      <c r="C2" t="s">
        <v>327</v>
      </c>
      <c r="D2" t="s">
        <v>328</v>
      </c>
    </row>
    <row r="3" spans="1:5" ht="12.75">
      <c r="A3" t="s">
        <v>325</v>
      </c>
      <c r="B3" t="s">
        <v>326</v>
      </c>
      <c r="C3" t="s">
        <v>329</v>
      </c>
      <c r="D3" s="3">
        <v>5</v>
      </c>
      <c r="E3" t="s">
        <v>46</v>
      </c>
    </row>
    <row r="4" spans="2:5" ht="12.75">
      <c r="B4" t="s">
        <v>330</v>
      </c>
      <c r="C4" t="s">
        <v>329</v>
      </c>
      <c r="D4" s="268" t="s">
        <v>332</v>
      </c>
      <c r="E4" t="s">
        <v>46</v>
      </c>
    </row>
    <row r="5" spans="2:5" ht="12.75">
      <c r="B5" t="s">
        <v>331</v>
      </c>
      <c r="C5" t="s">
        <v>329</v>
      </c>
      <c r="D5" s="3">
        <v>20</v>
      </c>
      <c r="E5" t="s">
        <v>46</v>
      </c>
    </row>
  </sheetData>
  <printOptions/>
  <pageMargins left="0.75" right="0.75" top="1" bottom="1" header="0.5" footer="0.5"/>
  <pageSetup horizontalDpi="409" verticalDpi="409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106"/>
  <sheetViews>
    <sheetView workbookViewId="0" topLeftCell="A1">
      <pane xSplit="10" topLeftCell="K1" activePane="topRight" state="frozen"/>
      <selection pane="topLeft" activeCell="A1" sqref="A1"/>
      <selection pane="topRight" activeCell="D93" sqref="D93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28.00390625" style="5" customWidth="1"/>
    <col min="4" max="4" width="20.57421875" style="0" customWidth="1"/>
    <col min="5" max="5" width="7.28125" style="0" customWidth="1"/>
    <col min="6" max="6" width="5.8515625" style="0" customWidth="1"/>
    <col min="7" max="7" width="2.140625" style="4" customWidth="1"/>
    <col min="8" max="8" width="2.28125" style="0" customWidth="1"/>
    <col min="9" max="9" width="6.00390625" style="0" customWidth="1"/>
    <col min="10" max="10" width="8.140625" style="4" customWidth="1"/>
    <col min="11" max="13" width="6.8515625" style="0" customWidth="1"/>
    <col min="14" max="14" width="6.8515625" style="4" customWidth="1"/>
    <col min="15" max="15" width="9.140625" style="4" customWidth="1"/>
    <col min="16" max="16" width="5.421875" style="4" customWidth="1"/>
    <col min="17" max="17" width="7.140625" style="4" customWidth="1"/>
    <col min="18" max="18" width="5.421875" style="4" customWidth="1"/>
    <col min="19" max="19" width="7.7109375" style="4" customWidth="1"/>
    <col min="20" max="20" width="9.140625" style="4" customWidth="1"/>
    <col min="21" max="21" width="5.140625" style="4" customWidth="1"/>
    <col min="22" max="22" width="6.28125" style="4" customWidth="1"/>
    <col min="23" max="23" width="5.140625" style="4" customWidth="1"/>
    <col min="24" max="25" width="9.140625" style="4" customWidth="1"/>
    <col min="26" max="26" width="4.8515625" style="4" customWidth="1"/>
    <col min="27" max="27" width="6.57421875" style="4" customWidth="1"/>
    <col min="28" max="28" width="4.8515625" style="4" customWidth="1"/>
    <col min="29" max="29" width="8.00390625" style="4" customWidth="1"/>
    <col min="30" max="30" width="9.140625" style="4" customWidth="1"/>
    <col min="31" max="31" width="7.421875" style="4" customWidth="1"/>
    <col min="32" max="32" width="6.8515625" style="4" customWidth="1"/>
    <col min="33" max="33" width="4.57421875" style="0" customWidth="1"/>
    <col min="34" max="34" width="8.28125" style="9" customWidth="1"/>
    <col min="35" max="35" width="7.421875" style="0" customWidth="1"/>
    <col min="36" max="36" width="5.8515625" style="0" customWidth="1"/>
    <col min="37" max="38" width="6.28125" style="0" customWidth="1"/>
  </cols>
  <sheetData>
    <row r="1" ht="12.75"/>
    <row r="2" spans="3:34" s="2" customFormat="1" ht="12.75">
      <c r="C2" s="6"/>
      <c r="G2" s="7"/>
      <c r="J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H2" s="8"/>
    </row>
    <row r="3" ht="12.75"/>
    <row r="4" ht="12.75"/>
    <row r="5" spans="2:11" ht="12.75">
      <c r="B5" s="1"/>
      <c r="C5" s="5" t="s">
        <v>75</v>
      </c>
      <c r="E5">
        <v>3600</v>
      </c>
      <c r="F5" s="3" t="s">
        <v>77</v>
      </c>
      <c r="G5" s="4">
        <v>300</v>
      </c>
      <c r="H5" t="s">
        <v>46</v>
      </c>
      <c r="J5" s="4">
        <f>E5*G5</f>
        <v>1080000</v>
      </c>
      <c r="K5" t="str">
        <f>H5</f>
        <v>CHF</v>
      </c>
    </row>
    <row r="6" spans="34:35" ht="12.75">
      <c r="AH6" s="9">
        <v>1.57</v>
      </c>
      <c r="AI6" t="s">
        <v>84</v>
      </c>
    </row>
    <row r="7" spans="4:9" ht="12.75">
      <c r="D7" t="s">
        <v>1</v>
      </c>
      <c r="G7" s="4">
        <v>60</v>
      </c>
      <c r="H7" t="s">
        <v>46</v>
      </c>
      <c r="I7" s="16"/>
    </row>
    <row r="8" spans="8:40" ht="13.5" thickBot="1">
      <c r="H8" s="4"/>
      <c r="I8" s="4"/>
      <c r="J8"/>
      <c r="K8" s="50"/>
      <c r="L8" s="51"/>
      <c r="M8" s="50"/>
      <c r="N8" s="50"/>
      <c r="O8" s="50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2"/>
      <c r="AJ8" s="77"/>
      <c r="AK8" s="50"/>
      <c r="AL8" s="50"/>
      <c r="AM8" s="50"/>
      <c r="AN8" s="50"/>
    </row>
    <row r="9" spans="3:41" ht="12.75">
      <c r="C9" s="246"/>
      <c r="H9" s="85" t="s">
        <v>125</v>
      </c>
      <c r="I9" s="4"/>
      <c r="J9" s="37"/>
      <c r="K9" s="247" t="s">
        <v>87</v>
      </c>
      <c r="L9" s="74"/>
      <c r="M9" s="248"/>
      <c r="N9" s="248"/>
      <c r="O9" s="249"/>
      <c r="P9" s="250" t="s">
        <v>86</v>
      </c>
      <c r="Q9" s="65"/>
      <c r="R9" s="65"/>
      <c r="S9" s="65"/>
      <c r="T9" s="251"/>
      <c r="U9" s="250" t="s">
        <v>102</v>
      </c>
      <c r="V9" s="65"/>
      <c r="W9" s="65"/>
      <c r="X9" s="65"/>
      <c r="Y9" s="251"/>
      <c r="Z9" s="252" t="s">
        <v>103</v>
      </c>
      <c r="AA9" s="74"/>
      <c r="AB9" s="74"/>
      <c r="AC9" s="74"/>
      <c r="AD9" s="253"/>
      <c r="AE9" s="254" t="s">
        <v>88</v>
      </c>
      <c r="AF9" s="53"/>
      <c r="AG9" s="53"/>
      <c r="AH9" s="53"/>
      <c r="AI9" s="253"/>
      <c r="AJ9" s="254" t="s">
        <v>89</v>
      </c>
      <c r="AK9" s="53"/>
      <c r="AL9" s="53"/>
      <c r="AM9" s="53"/>
      <c r="AN9" s="253"/>
      <c r="AO9" s="11"/>
    </row>
    <row r="10" spans="2:41" s="244" customFormat="1" ht="13.5" thickBot="1">
      <c r="B10" s="13" t="s">
        <v>85</v>
      </c>
      <c r="C10" s="14"/>
      <c r="D10" s="13" t="s">
        <v>78</v>
      </c>
      <c r="E10" s="13" t="s">
        <v>79</v>
      </c>
      <c r="F10" s="13" t="s">
        <v>80</v>
      </c>
      <c r="G10" s="15" t="s">
        <v>120</v>
      </c>
      <c r="H10" s="15" t="s">
        <v>81</v>
      </c>
      <c r="I10" s="15" t="s">
        <v>81</v>
      </c>
      <c r="J10" s="38"/>
      <c r="K10" s="64" t="s">
        <v>83</v>
      </c>
      <c r="L10" s="63" t="s">
        <v>82</v>
      </c>
      <c r="M10" s="64"/>
      <c r="N10" s="64"/>
      <c r="O10" s="257"/>
      <c r="P10" s="66" t="s">
        <v>83</v>
      </c>
      <c r="Q10" s="67" t="s">
        <v>82</v>
      </c>
      <c r="R10" s="67"/>
      <c r="S10" s="67"/>
      <c r="T10" s="256"/>
      <c r="U10" s="66" t="s">
        <v>83</v>
      </c>
      <c r="V10" s="67" t="s">
        <v>82</v>
      </c>
      <c r="W10" s="67"/>
      <c r="X10" s="67"/>
      <c r="Y10" s="256"/>
      <c r="Z10" s="64" t="s">
        <v>83</v>
      </c>
      <c r="AA10" s="63" t="s">
        <v>82</v>
      </c>
      <c r="AB10" s="63"/>
      <c r="AC10" s="63"/>
      <c r="AD10" s="255"/>
      <c r="AE10" s="13" t="s">
        <v>83</v>
      </c>
      <c r="AF10" s="15" t="s">
        <v>82</v>
      </c>
      <c r="AG10" s="15"/>
      <c r="AH10" s="15"/>
      <c r="AI10" s="255"/>
      <c r="AJ10" s="13" t="s">
        <v>83</v>
      </c>
      <c r="AK10" s="15" t="s">
        <v>82</v>
      </c>
      <c r="AL10" s="15"/>
      <c r="AM10" s="15"/>
      <c r="AN10" s="255"/>
      <c r="AO10" s="245"/>
    </row>
    <row r="11" spans="2:41" ht="13.5" thickTop="1">
      <c r="B11" s="2" t="s">
        <v>282</v>
      </c>
      <c r="H11" s="4"/>
      <c r="I11" s="4"/>
      <c r="J11" s="37"/>
      <c r="K11" s="12"/>
      <c r="L11" s="4"/>
      <c r="N11" s="9"/>
      <c r="O11" s="37"/>
      <c r="P11" s="10"/>
      <c r="T11" s="47"/>
      <c r="U11" s="10"/>
      <c r="Y11" s="47"/>
      <c r="Z11" s="10"/>
      <c r="AD11" s="47"/>
      <c r="AE11" s="10"/>
      <c r="AG11" s="4"/>
      <c r="AH11" s="4"/>
      <c r="AI11" s="47"/>
      <c r="AJ11" s="10"/>
      <c r="AK11" s="4"/>
      <c r="AL11" s="4"/>
      <c r="AM11" s="4"/>
      <c r="AN11" s="47"/>
      <c r="AO11" s="11"/>
    </row>
    <row r="12" spans="2:41" s="16" customFormat="1" ht="12.75">
      <c r="B12" s="20"/>
      <c r="C12" s="21" t="s">
        <v>53</v>
      </c>
      <c r="D12" s="20" t="s">
        <v>54</v>
      </c>
      <c r="E12" s="20">
        <v>700</v>
      </c>
      <c r="F12" s="20" t="s">
        <v>90</v>
      </c>
      <c r="G12" s="22">
        <v>1300</v>
      </c>
      <c r="H12" s="22">
        <f>0.22</f>
        <v>0.22</v>
      </c>
      <c r="I12" s="22">
        <f>$H12+$G12/($E12*$K12)</f>
        <v>0.23014832162373147</v>
      </c>
      <c r="J12" s="39" t="s">
        <v>46</v>
      </c>
      <c r="K12" s="33">
        <v>183</v>
      </c>
      <c r="L12" s="22">
        <f>I12*K12</f>
        <v>42.11714285714286</v>
      </c>
      <c r="M12" s="20" t="str">
        <f>J12</f>
        <v>CHF</v>
      </c>
      <c r="N12" s="23">
        <f>IF(M12=O12,L12,L12*$AH$6)</f>
        <v>42.11714285714286</v>
      </c>
      <c r="O12" s="39" t="s">
        <v>46</v>
      </c>
      <c r="P12" s="242"/>
      <c r="Q12" s="158"/>
      <c r="R12" s="158"/>
      <c r="S12" s="84"/>
      <c r="T12" s="159"/>
      <c r="U12" s="161"/>
      <c r="V12" s="158"/>
      <c r="W12" s="158"/>
      <c r="X12" s="84"/>
      <c r="Y12" s="159"/>
      <c r="Z12" s="43">
        <v>6</v>
      </c>
      <c r="AA12" s="22">
        <f>$I12*Z12</f>
        <v>1.3808899297423889</v>
      </c>
      <c r="AB12" s="22" t="str">
        <f>$J12</f>
        <v>CHF</v>
      </c>
      <c r="AC12" s="23">
        <f>IF(AB12=AD12,AA12,AA12*$AH$6)</f>
        <v>1.3808899297423889</v>
      </c>
      <c r="AD12" s="39" t="s">
        <v>46</v>
      </c>
      <c r="AE12" s="201"/>
      <c r="AF12" s="158"/>
      <c r="AG12" s="158"/>
      <c r="AH12" s="84"/>
      <c r="AI12" s="159"/>
      <c r="AJ12" s="201"/>
      <c r="AK12" s="158"/>
      <c r="AL12" s="158"/>
      <c r="AM12" s="84"/>
      <c r="AN12" s="159"/>
      <c r="AO12" s="49"/>
    </row>
    <row r="13" spans="2:41" s="16" customFormat="1" ht="12.75">
      <c r="B13" s="24"/>
      <c r="C13" s="25" t="s">
        <v>93</v>
      </c>
      <c r="D13" s="24"/>
      <c r="E13" s="24">
        <v>4200</v>
      </c>
      <c r="F13" s="24" t="s">
        <v>90</v>
      </c>
      <c r="G13" s="26">
        <v>1300</v>
      </c>
      <c r="H13" s="26">
        <f>0.13</f>
        <v>0.13</v>
      </c>
      <c r="I13" s="26">
        <f>$H13+$G13/($E13*$P13)</f>
        <v>0.13169138693728857</v>
      </c>
      <c r="J13" s="40" t="s">
        <v>46</v>
      </c>
      <c r="K13" s="160"/>
      <c r="L13" s="158"/>
      <c r="M13" s="62"/>
      <c r="N13" s="84"/>
      <c r="O13" s="159"/>
      <c r="P13" s="34">
        <v>183</v>
      </c>
      <c r="Q13" s="26">
        <f aca="true" t="shared" si="0" ref="Q13:Q19">I13*P13</f>
        <v>24.09952380952381</v>
      </c>
      <c r="R13" s="26" t="str">
        <f aca="true" t="shared" si="1" ref="R13:R23">J13</f>
        <v>CHF</v>
      </c>
      <c r="S13" s="27">
        <f>IF(R13=T13,Q13,Q13*$AH$6)</f>
        <v>24.09952380952381</v>
      </c>
      <c r="T13" s="40" t="s">
        <v>46</v>
      </c>
      <c r="U13" s="44">
        <v>6</v>
      </c>
      <c r="V13" s="26">
        <f>$I13*U13</f>
        <v>0.7901483216237315</v>
      </c>
      <c r="W13" s="26" t="str">
        <f>$J13</f>
        <v>CHF</v>
      </c>
      <c r="X13" s="27">
        <f>IF(W13=Y13,V13,V13*$AH$6)</f>
        <v>0.7901483216237315</v>
      </c>
      <c r="Y13" s="40" t="s">
        <v>46</v>
      </c>
      <c r="Z13" s="161"/>
      <c r="AA13" s="158"/>
      <c r="AB13" s="158"/>
      <c r="AC13" s="84"/>
      <c r="AD13" s="159"/>
      <c r="AE13" s="201"/>
      <c r="AF13" s="158"/>
      <c r="AG13" s="158"/>
      <c r="AH13" s="84"/>
      <c r="AI13" s="159"/>
      <c r="AJ13" s="201"/>
      <c r="AK13" s="158"/>
      <c r="AL13" s="158"/>
      <c r="AM13" s="84"/>
      <c r="AN13" s="159"/>
      <c r="AO13" s="49"/>
    </row>
    <row r="14" spans="2:41" s="16" customFormat="1" ht="12.75">
      <c r="B14" s="20"/>
      <c r="C14" s="21"/>
      <c r="D14" s="20" t="s">
        <v>55</v>
      </c>
      <c r="E14" s="20">
        <v>700</v>
      </c>
      <c r="F14" s="20" t="s">
        <v>90</v>
      </c>
      <c r="G14" s="22">
        <v>1300</v>
      </c>
      <c r="H14" s="22">
        <f>0.48</f>
        <v>0.48</v>
      </c>
      <c r="I14" s="22">
        <f>$H14+$G14/($E14*$K14)</f>
        <v>0.7895238095238095</v>
      </c>
      <c r="J14" s="39" t="s">
        <v>46</v>
      </c>
      <c r="K14" s="33">
        <v>6</v>
      </c>
      <c r="L14" s="22">
        <f>I14*K14</f>
        <v>4.737142857142857</v>
      </c>
      <c r="M14" s="20" t="str">
        <f>J14</f>
        <v>CHF</v>
      </c>
      <c r="N14" s="23">
        <f>IF(M14=O14,L14,L14*$AH$6)</f>
        <v>4.737142857142857</v>
      </c>
      <c r="O14" s="39" t="s">
        <v>46</v>
      </c>
      <c r="P14" s="242"/>
      <c r="Q14" s="158"/>
      <c r="R14" s="158"/>
      <c r="S14" s="84"/>
      <c r="T14" s="159"/>
      <c r="U14" s="161"/>
      <c r="V14" s="158"/>
      <c r="W14" s="158"/>
      <c r="X14" s="84"/>
      <c r="Y14" s="159"/>
      <c r="Z14" s="43">
        <v>6</v>
      </c>
      <c r="AA14" s="22">
        <f>$I14*Z14</f>
        <v>4.737142857142857</v>
      </c>
      <c r="AB14" s="22" t="str">
        <f>$J14</f>
        <v>CHF</v>
      </c>
      <c r="AC14" s="23">
        <f>IF(AB14=AD14,AA14,AA14*$AH$6)</f>
        <v>4.737142857142857</v>
      </c>
      <c r="AD14" s="39" t="s">
        <v>46</v>
      </c>
      <c r="AE14" s="201"/>
      <c r="AF14" s="158"/>
      <c r="AG14" s="158"/>
      <c r="AH14" s="84"/>
      <c r="AI14" s="159"/>
      <c r="AJ14" s="201"/>
      <c r="AK14" s="158"/>
      <c r="AL14" s="158"/>
      <c r="AM14" s="84"/>
      <c r="AN14" s="159"/>
      <c r="AO14" s="49"/>
    </row>
    <row r="15" spans="2:41" s="16" customFormat="1" ht="12.75">
      <c r="B15" s="24"/>
      <c r="C15" s="28"/>
      <c r="D15" s="24"/>
      <c r="E15" s="24">
        <v>4200</v>
      </c>
      <c r="F15" s="24" t="s">
        <v>90</v>
      </c>
      <c r="G15" s="26">
        <v>1300</v>
      </c>
      <c r="H15" s="26">
        <f>0.28</f>
        <v>0.28</v>
      </c>
      <c r="I15" s="26">
        <f>$H15+$G15/($E15*$P15)</f>
        <v>0.3315873015873016</v>
      </c>
      <c r="J15" s="40" t="s">
        <v>46</v>
      </c>
      <c r="K15" s="160"/>
      <c r="L15" s="158"/>
      <c r="M15" s="62"/>
      <c r="N15" s="84"/>
      <c r="O15" s="159"/>
      <c r="P15" s="34">
        <v>6</v>
      </c>
      <c r="Q15" s="26">
        <f t="shared" si="0"/>
        <v>1.9895238095238095</v>
      </c>
      <c r="R15" s="26" t="str">
        <f t="shared" si="1"/>
        <v>CHF</v>
      </c>
      <c r="S15" s="27">
        <f>IF(R15=T15,Q15,Q15*$AH$6)</f>
        <v>1.9895238095238095</v>
      </c>
      <c r="T15" s="40" t="s">
        <v>46</v>
      </c>
      <c r="U15" s="44">
        <v>6</v>
      </c>
      <c r="V15" s="26">
        <f>$I15*U15</f>
        <v>1.9895238095238095</v>
      </c>
      <c r="W15" s="26" t="str">
        <f>$J15</f>
        <v>CHF</v>
      </c>
      <c r="X15" s="27">
        <f>IF(W15=Y15,V15,V15*$AH$6)</f>
        <v>1.9895238095238095</v>
      </c>
      <c r="Y15" s="40" t="s">
        <v>46</v>
      </c>
      <c r="Z15" s="161"/>
      <c r="AA15" s="158"/>
      <c r="AB15" s="158"/>
      <c r="AC15" s="84"/>
      <c r="AD15" s="159"/>
      <c r="AE15" s="201"/>
      <c r="AF15" s="158"/>
      <c r="AG15" s="158"/>
      <c r="AH15" s="84"/>
      <c r="AI15" s="159"/>
      <c r="AJ15" s="201"/>
      <c r="AK15" s="158"/>
      <c r="AL15" s="158"/>
      <c r="AM15" s="84"/>
      <c r="AN15" s="159"/>
      <c r="AO15" s="49"/>
    </row>
    <row r="16" spans="2:41" s="16" customFormat="1" ht="12.75">
      <c r="B16" s="20"/>
      <c r="C16" s="21" t="s">
        <v>56</v>
      </c>
      <c r="D16" s="20" t="s">
        <v>57</v>
      </c>
      <c r="E16" s="20">
        <v>700</v>
      </c>
      <c r="F16" s="20" t="s">
        <v>90</v>
      </c>
      <c r="G16" s="22">
        <v>1300</v>
      </c>
      <c r="H16" s="22">
        <f>2.4</f>
        <v>2.4</v>
      </c>
      <c r="I16" s="22">
        <f>$H16+$G16/($E16*$K16)</f>
        <v>3.3285714285714283</v>
      </c>
      <c r="J16" s="39" t="s">
        <v>46</v>
      </c>
      <c r="K16" s="33">
        <v>2</v>
      </c>
      <c r="L16" s="22">
        <f>I16*K16</f>
        <v>6.657142857142857</v>
      </c>
      <c r="M16" s="20" t="str">
        <f>J16</f>
        <v>CHF</v>
      </c>
      <c r="N16" s="23">
        <f>IF(M16=O16,L16,L16*$AH$6)</f>
        <v>6.657142857142857</v>
      </c>
      <c r="O16" s="39" t="s">
        <v>46</v>
      </c>
      <c r="P16" s="160"/>
      <c r="Q16" s="158"/>
      <c r="R16" s="158"/>
      <c r="S16" s="84"/>
      <c r="T16" s="159"/>
      <c r="U16" s="161"/>
      <c r="V16" s="158"/>
      <c r="W16" s="158"/>
      <c r="X16" s="84"/>
      <c r="Y16" s="159"/>
      <c r="Z16" s="43">
        <v>2</v>
      </c>
      <c r="AA16" s="22">
        <f>$I16*Z16</f>
        <v>6.657142857142857</v>
      </c>
      <c r="AB16" s="22" t="str">
        <f>$J16</f>
        <v>CHF</v>
      </c>
      <c r="AC16" s="23">
        <f>IF(AB16=AD16,AA16,AA16*$AH$6)</f>
        <v>6.657142857142857</v>
      </c>
      <c r="AD16" s="39" t="s">
        <v>46</v>
      </c>
      <c r="AE16" s="201"/>
      <c r="AF16" s="158"/>
      <c r="AG16" s="158"/>
      <c r="AH16" s="84"/>
      <c r="AI16" s="159"/>
      <c r="AJ16" s="201"/>
      <c r="AK16" s="158"/>
      <c r="AL16" s="158"/>
      <c r="AM16" s="84"/>
      <c r="AN16" s="159"/>
      <c r="AO16" s="49"/>
    </row>
    <row r="17" spans="2:41" s="16" customFormat="1" ht="12.75">
      <c r="B17" s="24"/>
      <c r="C17" s="25" t="s">
        <v>92</v>
      </c>
      <c r="D17" s="24"/>
      <c r="E17" s="24">
        <v>4200</v>
      </c>
      <c r="F17" s="24" t="s">
        <v>90</v>
      </c>
      <c r="G17" s="26">
        <v>1300</v>
      </c>
      <c r="H17" s="26">
        <f>1.5</f>
        <v>1.5</v>
      </c>
      <c r="I17" s="26">
        <f>$H17+$G17/($E17*$P17)</f>
        <v>1.6547619047619047</v>
      </c>
      <c r="J17" s="40" t="s">
        <v>46</v>
      </c>
      <c r="K17" s="160"/>
      <c r="L17" s="158"/>
      <c r="M17" s="62"/>
      <c r="N17" s="84"/>
      <c r="O17" s="159"/>
      <c r="P17" s="34">
        <v>2</v>
      </c>
      <c r="Q17" s="26">
        <f t="shared" si="0"/>
        <v>3.3095238095238093</v>
      </c>
      <c r="R17" s="26" t="str">
        <f t="shared" si="1"/>
        <v>CHF</v>
      </c>
      <c r="S17" s="27">
        <f>IF(R17=T17,Q17,Q17*$AH$6)</f>
        <v>3.3095238095238093</v>
      </c>
      <c r="T17" s="40" t="s">
        <v>46</v>
      </c>
      <c r="U17" s="44">
        <v>2</v>
      </c>
      <c r="V17" s="26">
        <f>$I17*U17</f>
        <v>3.3095238095238093</v>
      </c>
      <c r="W17" s="26" t="str">
        <f>$J17</f>
        <v>CHF</v>
      </c>
      <c r="X17" s="27">
        <f>IF(W17=Y17,V17,V17*$AH$6)</f>
        <v>3.3095238095238093</v>
      </c>
      <c r="Y17" s="40" t="s">
        <v>46</v>
      </c>
      <c r="Z17" s="161"/>
      <c r="AA17" s="158"/>
      <c r="AB17" s="158"/>
      <c r="AC17" s="84"/>
      <c r="AD17" s="159"/>
      <c r="AE17" s="201"/>
      <c r="AF17" s="158"/>
      <c r="AG17" s="158"/>
      <c r="AH17" s="84"/>
      <c r="AI17" s="159"/>
      <c r="AJ17" s="201"/>
      <c r="AK17" s="158"/>
      <c r="AL17" s="158"/>
      <c r="AM17" s="84"/>
      <c r="AN17" s="159"/>
      <c r="AO17" s="49"/>
    </row>
    <row r="18" spans="2:41" s="16" customFormat="1" ht="12.75">
      <c r="B18" s="20"/>
      <c r="C18" s="21" t="s">
        <v>58</v>
      </c>
      <c r="D18" s="20" t="s">
        <v>59</v>
      </c>
      <c r="E18" s="20">
        <v>700</v>
      </c>
      <c r="F18" s="20" t="s">
        <v>90</v>
      </c>
      <c r="G18" s="22">
        <v>1300</v>
      </c>
      <c r="H18" s="22">
        <v>1.4</v>
      </c>
      <c r="I18" s="22">
        <f>$H18+$G18/($E18*$K18)</f>
        <v>1.7095238095238094</v>
      </c>
      <c r="J18" s="39" t="s">
        <v>52</v>
      </c>
      <c r="K18" s="33">
        <v>6</v>
      </c>
      <c r="L18" s="22">
        <f>I18*K18</f>
        <v>10.257142857142856</v>
      </c>
      <c r="M18" s="20" t="str">
        <f>J18</f>
        <v>EUR</v>
      </c>
      <c r="N18" s="23">
        <f>IF(M18=O18,L18,L18*$AH$6)</f>
        <v>16.103714285714286</v>
      </c>
      <c r="O18" s="39" t="s">
        <v>46</v>
      </c>
      <c r="P18" s="160"/>
      <c r="Q18" s="158"/>
      <c r="R18" s="158"/>
      <c r="S18" s="84"/>
      <c r="T18" s="159"/>
      <c r="U18" s="161"/>
      <c r="V18" s="158"/>
      <c r="W18" s="158"/>
      <c r="X18" s="84"/>
      <c r="Y18" s="159"/>
      <c r="Z18" s="43">
        <v>6</v>
      </c>
      <c r="AA18" s="22">
        <f>$I18*Z18</f>
        <v>10.257142857142856</v>
      </c>
      <c r="AB18" s="22" t="str">
        <f>$J18</f>
        <v>EUR</v>
      </c>
      <c r="AC18" s="23">
        <f>IF(AB18=AD18,AA18,AA18*$AH$6)</f>
        <v>16.103714285714286</v>
      </c>
      <c r="AD18" s="39" t="s">
        <v>46</v>
      </c>
      <c r="AE18" s="201"/>
      <c r="AF18" s="158"/>
      <c r="AG18" s="158"/>
      <c r="AH18" s="84"/>
      <c r="AI18" s="159"/>
      <c r="AJ18" s="201"/>
      <c r="AK18" s="158"/>
      <c r="AL18" s="158"/>
      <c r="AM18" s="84"/>
      <c r="AN18" s="159"/>
      <c r="AO18" s="49"/>
    </row>
    <row r="19" spans="2:41" s="16" customFormat="1" ht="12.75">
      <c r="B19" s="24"/>
      <c r="C19" s="25" t="s">
        <v>91</v>
      </c>
      <c r="D19" s="24"/>
      <c r="E19" s="24">
        <v>4200</v>
      </c>
      <c r="F19" s="24" t="s">
        <v>90</v>
      </c>
      <c r="G19" s="26">
        <v>1300</v>
      </c>
      <c r="H19" s="26">
        <v>1.3</v>
      </c>
      <c r="I19" s="26">
        <f>$H19+$G19/($E19*$P19)</f>
        <v>1.3515873015873017</v>
      </c>
      <c r="J19" s="40" t="s">
        <v>52</v>
      </c>
      <c r="K19" s="160"/>
      <c r="L19" s="158"/>
      <c r="M19" s="62"/>
      <c r="N19" s="84"/>
      <c r="O19" s="159"/>
      <c r="P19" s="34">
        <v>6</v>
      </c>
      <c r="Q19" s="26">
        <f t="shared" si="0"/>
        <v>8.109523809523811</v>
      </c>
      <c r="R19" s="26" t="str">
        <f t="shared" si="1"/>
        <v>EUR</v>
      </c>
      <c r="S19" s="27">
        <f>IF(R19=T19,Q19,Q19*$AH$6)</f>
        <v>12.731952380952384</v>
      </c>
      <c r="T19" s="40" t="s">
        <v>46</v>
      </c>
      <c r="U19" s="44">
        <v>6</v>
      </c>
      <c r="V19" s="26">
        <f>$I19*U19</f>
        <v>8.109523809523811</v>
      </c>
      <c r="W19" s="26" t="str">
        <f>$J19</f>
        <v>EUR</v>
      </c>
      <c r="X19" s="27">
        <f>IF(W19=Y19,V19,V19*$AH$6)</f>
        <v>12.731952380952384</v>
      </c>
      <c r="Y19" s="40" t="s">
        <v>46</v>
      </c>
      <c r="Z19" s="161"/>
      <c r="AA19" s="158"/>
      <c r="AB19" s="158"/>
      <c r="AC19" s="84"/>
      <c r="AD19" s="159"/>
      <c r="AE19" s="201"/>
      <c r="AF19" s="158"/>
      <c r="AG19" s="158"/>
      <c r="AH19" s="84"/>
      <c r="AI19" s="159"/>
      <c r="AJ19" s="201"/>
      <c r="AK19" s="158"/>
      <c r="AL19" s="158"/>
      <c r="AM19" s="84"/>
      <c r="AN19" s="159"/>
      <c r="AO19" s="49"/>
    </row>
    <row r="20" spans="2:41" s="16" customFormat="1" ht="12.75">
      <c r="B20" s="62"/>
      <c r="C20" s="157" t="s">
        <v>60</v>
      </c>
      <c r="D20" s="62"/>
      <c r="E20" s="62">
        <v>700</v>
      </c>
      <c r="F20" s="62" t="s">
        <v>90</v>
      </c>
      <c r="G20" s="158">
        <v>0</v>
      </c>
      <c r="H20" s="158">
        <v>1.65</v>
      </c>
      <c r="I20" s="158">
        <f>$H20+$G20/($E20*$K20)</f>
        <v>1.65</v>
      </c>
      <c r="J20" s="159" t="s">
        <v>46</v>
      </c>
      <c r="K20" s="160">
        <v>61</v>
      </c>
      <c r="L20" s="158">
        <f>I20*K20</f>
        <v>100.64999999999999</v>
      </c>
      <c r="M20" s="62" t="str">
        <f>J20</f>
        <v>CHF</v>
      </c>
      <c r="N20" s="84">
        <f>IF(M20=O20,L20,L20*$AH$6)</f>
        <v>100.64999999999999</v>
      </c>
      <c r="O20" s="159" t="s">
        <v>46</v>
      </c>
      <c r="P20" s="242"/>
      <c r="Q20" s="158"/>
      <c r="R20" s="158"/>
      <c r="S20" s="84"/>
      <c r="T20" s="159"/>
      <c r="U20" s="161"/>
      <c r="V20" s="158"/>
      <c r="W20" s="158"/>
      <c r="X20" s="84"/>
      <c r="Y20" s="159"/>
      <c r="Z20" s="161">
        <v>3</v>
      </c>
      <c r="AA20" s="158">
        <f>$I20*Z20</f>
        <v>4.949999999999999</v>
      </c>
      <c r="AB20" s="158" t="str">
        <f>$J20</f>
        <v>CHF</v>
      </c>
      <c r="AC20" s="84">
        <f>IF(AB20=AD20,AA20,AA20*$AH$6)</f>
        <v>4.949999999999999</v>
      </c>
      <c r="AD20" s="159" t="s">
        <v>46</v>
      </c>
      <c r="AE20" s="201"/>
      <c r="AF20" s="158"/>
      <c r="AG20" s="158"/>
      <c r="AH20" s="84"/>
      <c r="AI20" s="159"/>
      <c r="AJ20" s="201"/>
      <c r="AK20" s="158"/>
      <c r="AL20" s="158"/>
      <c r="AM20" s="84"/>
      <c r="AN20" s="159"/>
      <c r="AO20" s="49"/>
    </row>
    <row r="21" spans="2:41" s="16" customFormat="1" ht="12.75">
      <c r="B21" s="62"/>
      <c r="C21" s="243" t="s">
        <v>96</v>
      </c>
      <c r="D21" s="62" t="s">
        <v>104</v>
      </c>
      <c r="E21" s="62">
        <v>4000</v>
      </c>
      <c r="F21" s="62" t="s">
        <v>90</v>
      </c>
      <c r="G21" s="158">
        <v>0</v>
      </c>
      <c r="H21" s="158">
        <v>1.58</v>
      </c>
      <c r="I21" s="158">
        <f>$H21+$G21/($E21*$P21)</f>
        <v>1.58</v>
      </c>
      <c r="J21" s="159" t="s">
        <v>46</v>
      </c>
      <c r="K21" s="160"/>
      <c r="L21" s="158"/>
      <c r="M21" s="62"/>
      <c r="N21" s="84"/>
      <c r="O21" s="159"/>
      <c r="P21" s="160">
        <v>61</v>
      </c>
      <c r="Q21" s="158">
        <f>I21*P21</f>
        <v>96.38000000000001</v>
      </c>
      <c r="R21" s="158" t="str">
        <f t="shared" si="1"/>
        <v>CHF</v>
      </c>
      <c r="S21" s="84">
        <f>IF(R21=T21,Q21,Q21*$AH$6)</f>
        <v>96.38000000000001</v>
      </c>
      <c r="T21" s="159" t="s">
        <v>46</v>
      </c>
      <c r="U21" s="161">
        <v>3</v>
      </c>
      <c r="V21" s="158">
        <f>$I21*U21</f>
        <v>4.74</v>
      </c>
      <c r="W21" s="158" t="str">
        <f>$J21</f>
        <v>CHF</v>
      </c>
      <c r="X21" s="84">
        <f>IF(W21=Y21,V21,V21*$AH$6)</f>
        <v>4.74</v>
      </c>
      <c r="Y21" s="159" t="s">
        <v>46</v>
      </c>
      <c r="Z21" s="161"/>
      <c r="AA21" s="158"/>
      <c r="AB21" s="158"/>
      <c r="AC21" s="84"/>
      <c r="AD21" s="159"/>
      <c r="AE21" s="201"/>
      <c r="AF21" s="158"/>
      <c r="AG21" s="158"/>
      <c r="AH21" s="84"/>
      <c r="AI21" s="159"/>
      <c r="AJ21" s="201"/>
      <c r="AK21" s="158"/>
      <c r="AL21" s="158"/>
      <c r="AM21" s="84"/>
      <c r="AN21" s="159"/>
      <c r="AO21" s="49"/>
    </row>
    <row r="22" spans="2:41" s="16" customFormat="1" ht="12.75">
      <c r="B22" s="62"/>
      <c r="C22" s="157" t="s">
        <v>97</v>
      </c>
      <c r="D22" s="62"/>
      <c r="E22" s="62">
        <v>700</v>
      </c>
      <c r="F22" s="62" t="s">
        <v>90</v>
      </c>
      <c r="G22" s="158">
        <v>1350</v>
      </c>
      <c r="H22" s="158">
        <f>0.17</f>
        <v>0.17</v>
      </c>
      <c r="I22" s="158">
        <f>$H22+$G22/($E22*$K22)</f>
        <v>0.20161592505854803</v>
      </c>
      <c r="J22" s="159" t="s">
        <v>52</v>
      </c>
      <c r="K22" s="160">
        <v>61</v>
      </c>
      <c r="L22" s="158">
        <f>I22*K22</f>
        <v>12.29857142857143</v>
      </c>
      <c r="M22" s="62" t="str">
        <f>J22</f>
        <v>EUR</v>
      </c>
      <c r="N22" s="84">
        <f>IF(M22=O22,L22,L22*$AH$6)</f>
        <v>19.308757142857147</v>
      </c>
      <c r="O22" s="159" t="s">
        <v>46</v>
      </c>
      <c r="P22" s="242"/>
      <c r="Q22" s="158"/>
      <c r="R22" s="158"/>
      <c r="S22" s="84"/>
      <c r="T22" s="159"/>
      <c r="U22" s="161"/>
      <c r="V22" s="158"/>
      <c r="W22" s="158"/>
      <c r="X22" s="84"/>
      <c r="Y22" s="159"/>
      <c r="Z22" s="161">
        <v>3</v>
      </c>
      <c r="AA22" s="158">
        <f>$I22*Z22</f>
        <v>0.604847775175644</v>
      </c>
      <c r="AB22" s="158" t="str">
        <f>$J22</f>
        <v>EUR</v>
      </c>
      <c r="AC22" s="84">
        <f>IF(AB22=AD22,AA22,AA22*$AH$6)</f>
        <v>0.9496110070257612</v>
      </c>
      <c r="AD22" s="159" t="s">
        <v>46</v>
      </c>
      <c r="AE22" s="201"/>
      <c r="AF22" s="158"/>
      <c r="AG22" s="158"/>
      <c r="AH22" s="84"/>
      <c r="AI22" s="159"/>
      <c r="AJ22" s="201"/>
      <c r="AK22" s="158"/>
      <c r="AL22" s="158"/>
      <c r="AM22" s="84"/>
      <c r="AN22" s="159"/>
      <c r="AO22" s="49"/>
    </row>
    <row r="23" spans="2:41" s="16" customFormat="1" ht="12.75">
      <c r="B23" s="62"/>
      <c r="C23" s="243" t="s">
        <v>94</v>
      </c>
      <c r="D23" s="62" t="s">
        <v>105</v>
      </c>
      <c r="E23" s="62">
        <v>4200</v>
      </c>
      <c r="F23" s="62" t="s">
        <v>90</v>
      </c>
      <c r="G23" s="158">
        <v>1350</v>
      </c>
      <c r="H23" s="158">
        <f>0.13</f>
        <v>0.13</v>
      </c>
      <c r="I23" s="158">
        <f>$H23+$G23/($E23*$P23)</f>
        <v>0.13526932084309135</v>
      </c>
      <c r="J23" s="159" t="s">
        <v>52</v>
      </c>
      <c r="K23" s="160"/>
      <c r="L23" s="158"/>
      <c r="M23" s="62"/>
      <c r="N23" s="84"/>
      <c r="O23" s="159"/>
      <c r="P23" s="160">
        <v>61</v>
      </c>
      <c r="Q23" s="158">
        <f>I23*P23</f>
        <v>8.251428571428573</v>
      </c>
      <c r="R23" s="158" t="str">
        <f t="shared" si="1"/>
        <v>EUR</v>
      </c>
      <c r="S23" s="84">
        <f>IF(R23=T23,Q23,Q23*$AH$6)</f>
        <v>12.95474285714286</v>
      </c>
      <c r="T23" s="159" t="s">
        <v>46</v>
      </c>
      <c r="U23" s="161">
        <v>3</v>
      </c>
      <c r="V23" s="158">
        <f>$I23*U23</f>
        <v>0.40580796252927404</v>
      </c>
      <c r="W23" s="158" t="str">
        <f>$J23</f>
        <v>EUR</v>
      </c>
      <c r="X23" s="84">
        <f>IF(W23=Y23,V23,V23*$AH$6)</f>
        <v>0.6371185011709602</v>
      </c>
      <c r="Y23" s="159" t="s">
        <v>46</v>
      </c>
      <c r="Z23" s="161"/>
      <c r="AA23" s="158"/>
      <c r="AB23" s="158"/>
      <c r="AC23" s="84"/>
      <c r="AD23" s="159"/>
      <c r="AE23" s="201"/>
      <c r="AF23" s="158"/>
      <c r="AG23" s="158"/>
      <c r="AH23" s="84"/>
      <c r="AI23" s="159"/>
      <c r="AJ23" s="201"/>
      <c r="AK23" s="158"/>
      <c r="AL23" s="158"/>
      <c r="AM23" s="84"/>
      <c r="AN23" s="159"/>
      <c r="AO23" s="49"/>
    </row>
    <row r="24" spans="2:41" s="16" customFormat="1" ht="12.75">
      <c r="B24" s="20"/>
      <c r="C24" s="21" t="s">
        <v>98</v>
      </c>
      <c r="D24" s="20" t="s">
        <v>100</v>
      </c>
      <c r="E24" s="20">
        <v>700</v>
      </c>
      <c r="F24" s="20" t="s">
        <v>101</v>
      </c>
      <c r="G24" s="22">
        <v>5450</v>
      </c>
      <c r="H24" s="22">
        <f>0.2</f>
        <v>0.2</v>
      </c>
      <c r="I24" s="217">
        <f>$H24+$G24/($E24*$K24)</f>
        <v>0.32763466042154565</v>
      </c>
      <c r="J24" s="218" t="s">
        <v>281</v>
      </c>
      <c r="K24" s="33">
        <v>61</v>
      </c>
      <c r="L24" s="22">
        <f>I24*K24</f>
        <v>19.985714285714284</v>
      </c>
      <c r="M24" s="20" t="str">
        <f>J24</f>
        <v>HT EUR</v>
      </c>
      <c r="N24" s="23">
        <f>IF(M24=O24,L24,L24*$AH$6)</f>
        <v>31.37757142857143</v>
      </c>
      <c r="O24" s="39" t="s">
        <v>46</v>
      </c>
      <c r="P24" s="160"/>
      <c r="Q24" s="158"/>
      <c r="R24" s="158"/>
      <c r="S24" s="84"/>
      <c r="T24" s="159"/>
      <c r="U24" s="161"/>
      <c r="V24" s="158"/>
      <c r="W24" s="158"/>
      <c r="X24" s="84"/>
      <c r="Y24" s="159"/>
      <c r="Z24" s="43">
        <v>3</v>
      </c>
      <c r="AA24" s="22">
        <f>$I24*Z24</f>
        <v>0.982903981264637</v>
      </c>
      <c r="AB24" s="22" t="str">
        <f>$J24</f>
        <v>HT EUR</v>
      </c>
      <c r="AC24" s="23">
        <f>IF(AB24=AD24,AA24,AA24*$AH$6)</f>
        <v>1.54315925058548</v>
      </c>
      <c r="AD24" s="39" t="s">
        <v>46</v>
      </c>
      <c r="AE24" s="201"/>
      <c r="AF24" s="158"/>
      <c r="AG24" s="158"/>
      <c r="AH24" s="84"/>
      <c r="AI24" s="159"/>
      <c r="AJ24" s="201"/>
      <c r="AK24" s="158"/>
      <c r="AL24" s="158"/>
      <c r="AM24" s="84"/>
      <c r="AN24" s="159"/>
      <c r="AO24" s="49"/>
    </row>
    <row r="25" spans="2:41" s="16" customFormat="1" ht="12.75">
      <c r="B25" s="24"/>
      <c r="C25" s="25" t="s">
        <v>99</v>
      </c>
      <c r="D25" s="24" t="s">
        <v>106</v>
      </c>
      <c r="E25" s="24">
        <v>4200</v>
      </c>
      <c r="F25" s="24" t="s">
        <v>101</v>
      </c>
      <c r="G25" s="26">
        <v>5450</v>
      </c>
      <c r="H25" s="26">
        <f>0.17</f>
        <v>0.17</v>
      </c>
      <c r="I25" s="217">
        <f>$H25+$G25/($E25*$P25)</f>
        <v>0.19127244340359095</v>
      </c>
      <c r="J25" s="218" t="s">
        <v>281</v>
      </c>
      <c r="K25" s="160"/>
      <c r="L25" s="158"/>
      <c r="M25" s="62"/>
      <c r="N25" s="84"/>
      <c r="O25" s="159"/>
      <c r="P25" s="34">
        <v>61</v>
      </c>
      <c r="Q25" s="26">
        <f>I25*P25</f>
        <v>11.667619047619048</v>
      </c>
      <c r="R25" s="26" t="str">
        <f>J25</f>
        <v>HT EUR</v>
      </c>
      <c r="S25" s="27">
        <f>IF(R25=T25,Q25,Q25*$AH$6)</f>
        <v>18.318161904761908</v>
      </c>
      <c r="T25" s="40" t="s">
        <v>46</v>
      </c>
      <c r="U25" s="44">
        <v>3</v>
      </c>
      <c r="V25" s="26">
        <f>$I25*U25</f>
        <v>0.5738173302107729</v>
      </c>
      <c r="W25" s="26" t="str">
        <f>$J25</f>
        <v>HT EUR</v>
      </c>
      <c r="X25" s="27">
        <f>IF(W25=Y25,V25,V25*$AH$6)</f>
        <v>0.9008932084309135</v>
      </c>
      <c r="Y25" s="40" t="s">
        <v>46</v>
      </c>
      <c r="Z25" s="161"/>
      <c r="AA25" s="158"/>
      <c r="AB25" s="158"/>
      <c r="AC25" s="84"/>
      <c r="AD25" s="159"/>
      <c r="AE25" s="201"/>
      <c r="AF25" s="158"/>
      <c r="AG25" s="158"/>
      <c r="AH25" s="84"/>
      <c r="AI25" s="159"/>
      <c r="AJ25" s="201"/>
      <c r="AK25" s="158"/>
      <c r="AL25" s="158"/>
      <c r="AM25" s="84"/>
      <c r="AN25" s="159"/>
      <c r="AO25" s="49"/>
    </row>
    <row r="26" spans="2:41" s="16" customFormat="1" ht="12.75">
      <c r="B26" s="2" t="s">
        <v>318</v>
      </c>
      <c r="C26" s="17"/>
      <c r="G26" s="18"/>
      <c r="H26" s="18"/>
      <c r="I26" s="18"/>
      <c r="J26" s="41"/>
      <c r="K26" s="35"/>
      <c r="L26" s="18"/>
      <c r="M26" s="266"/>
      <c r="N26" s="49"/>
      <c r="O26" s="41"/>
      <c r="P26" s="45"/>
      <c r="Q26" s="18"/>
      <c r="R26" s="267"/>
      <c r="S26" s="49"/>
      <c r="T26" s="41"/>
      <c r="U26" s="45"/>
      <c r="V26" s="18"/>
      <c r="W26" s="267"/>
      <c r="X26" s="49"/>
      <c r="Y26" s="41"/>
      <c r="Z26" s="45"/>
      <c r="AA26" s="18"/>
      <c r="AB26" s="267"/>
      <c r="AC26" s="49"/>
      <c r="AD26" s="41"/>
      <c r="AE26" s="48"/>
      <c r="AF26" s="18"/>
      <c r="AG26" s="267"/>
      <c r="AH26" s="49"/>
      <c r="AI26" s="41"/>
      <c r="AJ26" s="48"/>
      <c r="AK26" s="18"/>
      <c r="AL26" s="267"/>
      <c r="AM26" s="49"/>
      <c r="AN26" s="41"/>
      <c r="AO26" s="49"/>
    </row>
    <row r="27" spans="2:41" s="16" customFormat="1" ht="12.75">
      <c r="B27" s="55"/>
      <c r="C27" s="56" t="s">
        <v>319</v>
      </c>
      <c r="D27" s="55" t="s">
        <v>111</v>
      </c>
      <c r="E27" s="55">
        <v>1</v>
      </c>
      <c r="F27" s="55" t="s">
        <v>260</v>
      </c>
      <c r="G27" s="57"/>
      <c r="H27" s="57"/>
      <c r="I27" s="57">
        <v>15.8</v>
      </c>
      <c r="J27" s="58" t="s">
        <v>46</v>
      </c>
      <c r="K27" s="59"/>
      <c r="L27" s="57"/>
      <c r="M27" s="55"/>
      <c r="N27" s="60"/>
      <c r="O27" s="58"/>
      <c r="P27" s="59"/>
      <c r="Q27" s="57"/>
      <c r="R27" s="55"/>
      <c r="S27" s="60"/>
      <c r="T27" s="58"/>
      <c r="U27" s="59"/>
      <c r="V27" s="57"/>
      <c r="W27" s="55"/>
      <c r="X27" s="60"/>
      <c r="Y27" s="58"/>
      <c r="Z27" s="59"/>
      <c r="AA27" s="57"/>
      <c r="AB27" s="55"/>
      <c r="AC27" s="60"/>
      <c r="AD27" s="58"/>
      <c r="AE27" s="59">
        <v>0.883</v>
      </c>
      <c r="AF27" s="57">
        <f aca="true" t="shared" si="2" ref="AF27:AF32">$I27*AE27</f>
        <v>13.951400000000001</v>
      </c>
      <c r="AG27" s="55" t="str">
        <f aca="true" t="shared" si="3" ref="AG27:AG32">$J27</f>
        <v>CHF</v>
      </c>
      <c r="AH27" s="60">
        <f aca="true" t="shared" si="4" ref="AH27:AH32">IF(AG27=AI27,AF27,AF27*$AH$6)</f>
        <v>13.951400000000001</v>
      </c>
      <c r="AI27" s="58" t="s">
        <v>46</v>
      </c>
      <c r="AJ27" s="59">
        <v>0.883</v>
      </c>
      <c r="AK27" s="57">
        <f aca="true" t="shared" si="5" ref="AK27:AK32">$I27*AJ27</f>
        <v>13.951400000000001</v>
      </c>
      <c r="AL27" s="55" t="str">
        <f aca="true" t="shared" si="6" ref="AL27:AL32">$J27</f>
        <v>CHF</v>
      </c>
      <c r="AM27" s="60">
        <f aca="true" t="shared" si="7" ref="AM27:AM32">IF(AL27=AN27,AK27,AK27*$AH$6)</f>
        <v>13.951400000000001</v>
      </c>
      <c r="AN27" s="58" t="s">
        <v>46</v>
      </c>
      <c r="AO27" s="49"/>
    </row>
    <row r="28" spans="2:41" s="16" customFormat="1" ht="12.75">
      <c r="B28" s="62"/>
      <c r="C28" s="157" t="s">
        <v>319</v>
      </c>
      <c r="D28" s="62" t="s">
        <v>113</v>
      </c>
      <c r="E28" s="62">
        <v>1</v>
      </c>
      <c r="F28" s="62" t="s">
        <v>260</v>
      </c>
      <c r="G28" s="158"/>
      <c r="H28" s="158"/>
      <c r="I28" s="158">
        <v>34.2</v>
      </c>
      <c r="J28" s="159" t="s">
        <v>46</v>
      </c>
      <c r="K28" s="160"/>
      <c r="L28" s="158"/>
      <c r="M28" s="62"/>
      <c r="N28" s="84"/>
      <c r="O28" s="159"/>
      <c r="P28" s="160"/>
      <c r="Q28" s="158"/>
      <c r="R28" s="62"/>
      <c r="S28" s="84"/>
      <c r="T28" s="159"/>
      <c r="U28" s="160"/>
      <c r="V28" s="158"/>
      <c r="W28" s="62"/>
      <c r="X28" s="84"/>
      <c r="Y28" s="159"/>
      <c r="Z28" s="160"/>
      <c r="AA28" s="158"/>
      <c r="AB28" s="62"/>
      <c r="AC28" s="84"/>
      <c r="AD28" s="159"/>
      <c r="AE28" s="160">
        <v>0.883</v>
      </c>
      <c r="AF28" s="158">
        <f t="shared" si="2"/>
        <v>30.198600000000003</v>
      </c>
      <c r="AG28" s="62" t="str">
        <f t="shared" si="3"/>
        <v>CHF</v>
      </c>
      <c r="AH28" s="84">
        <f t="shared" si="4"/>
        <v>30.198600000000003</v>
      </c>
      <c r="AI28" s="159" t="s">
        <v>46</v>
      </c>
      <c r="AJ28" s="160">
        <v>0.883</v>
      </c>
      <c r="AK28" s="158">
        <f t="shared" si="5"/>
        <v>30.198600000000003</v>
      </c>
      <c r="AL28" s="62" t="str">
        <f t="shared" si="6"/>
        <v>CHF</v>
      </c>
      <c r="AM28" s="84">
        <f t="shared" si="7"/>
        <v>30.198600000000003</v>
      </c>
      <c r="AN28" s="159" t="s">
        <v>46</v>
      </c>
      <c r="AO28" s="49"/>
    </row>
    <row r="29" spans="2:41" s="16" customFormat="1" ht="12.75">
      <c r="B29" s="62"/>
      <c r="C29" s="157" t="s">
        <v>321</v>
      </c>
      <c r="D29" s="62" t="s">
        <v>111</v>
      </c>
      <c r="E29" s="62">
        <v>1</v>
      </c>
      <c r="F29" s="62" t="s">
        <v>260</v>
      </c>
      <c r="G29" s="158"/>
      <c r="H29" s="158"/>
      <c r="I29" s="158">
        <v>11.5</v>
      </c>
      <c r="J29" s="159" t="s">
        <v>46</v>
      </c>
      <c r="K29" s="160"/>
      <c r="L29" s="158"/>
      <c r="M29" s="62"/>
      <c r="N29" s="84"/>
      <c r="O29" s="159"/>
      <c r="P29" s="160"/>
      <c r="Q29" s="158"/>
      <c r="R29" s="62"/>
      <c r="S29" s="84"/>
      <c r="T29" s="159"/>
      <c r="U29" s="160"/>
      <c r="V29" s="158"/>
      <c r="W29" s="62"/>
      <c r="X29" s="84"/>
      <c r="Y29" s="159"/>
      <c r="Z29" s="160"/>
      <c r="AA29" s="158"/>
      <c r="AB29" s="62"/>
      <c r="AC29" s="84"/>
      <c r="AD29" s="159"/>
      <c r="AE29" s="160">
        <v>0</v>
      </c>
      <c r="AF29" s="158">
        <f t="shared" si="2"/>
        <v>0</v>
      </c>
      <c r="AG29" s="62" t="str">
        <f t="shared" si="3"/>
        <v>CHF</v>
      </c>
      <c r="AH29" s="84">
        <f t="shared" si="4"/>
        <v>0</v>
      </c>
      <c r="AI29" s="159" t="s">
        <v>46</v>
      </c>
      <c r="AJ29" s="160">
        <v>0.883</v>
      </c>
      <c r="AK29" s="158">
        <f t="shared" si="5"/>
        <v>10.1545</v>
      </c>
      <c r="AL29" s="62" t="str">
        <f t="shared" si="6"/>
        <v>CHF</v>
      </c>
      <c r="AM29" s="84">
        <f t="shared" si="7"/>
        <v>10.1545</v>
      </c>
      <c r="AN29" s="159" t="s">
        <v>46</v>
      </c>
      <c r="AO29" s="49"/>
    </row>
    <row r="30" spans="2:41" s="16" customFormat="1" ht="12.75">
      <c r="B30" s="55"/>
      <c r="C30" s="56" t="s">
        <v>321</v>
      </c>
      <c r="D30" s="55" t="s">
        <v>113</v>
      </c>
      <c r="E30" s="55">
        <v>1</v>
      </c>
      <c r="F30" s="55" t="s">
        <v>260</v>
      </c>
      <c r="G30" s="57"/>
      <c r="H30" s="57"/>
      <c r="I30" s="57">
        <v>9.3</v>
      </c>
      <c r="J30" s="58" t="s">
        <v>46</v>
      </c>
      <c r="K30" s="59"/>
      <c r="L30" s="57"/>
      <c r="M30" s="55"/>
      <c r="N30" s="60"/>
      <c r="O30" s="58"/>
      <c r="P30" s="59"/>
      <c r="Q30" s="57"/>
      <c r="R30" s="55"/>
      <c r="S30" s="60"/>
      <c r="T30" s="58"/>
      <c r="U30" s="59"/>
      <c r="V30" s="57"/>
      <c r="W30" s="55"/>
      <c r="X30" s="60"/>
      <c r="Y30" s="58"/>
      <c r="Z30" s="59"/>
      <c r="AA30" s="57"/>
      <c r="AB30" s="55"/>
      <c r="AC30" s="60"/>
      <c r="AD30" s="58"/>
      <c r="AE30" s="59">
        <v>0</v>
      </c>
      <c r="AF30" s="57">
        <f t="shared" si="2"/>
        <v>0</v>
      </c>
      <c r="AG30" s="55" t="str">
        <f t="shared" si="3"/>
        <v>CHF</v>
      </c>
      <c r="AH30" s="60">
        <f t="shared" si="4"/>
        <v>0</v>
      </c>
      <c r="AI30" s="58" t="s">
        <v>46</v>
      </c>
      <c r="AJ30" s="59">
        <v>0.883</v>
      </c>
      <c r="AK30" s="57">
        <f t="shared" si="5"/>
        <v>8.2119</v>
      </c>
      <c r="AL30" s="55" t="str">
        <f t="shared" si="6"/>
        <v>CHF</v>
      </c>
      <c r="AM30" s="60">
        <f t="shared" si="7"/>
        <v>8.2119</v>
      </c>
      <c r="AN30" s="58" t="s">
        <v>46</v>
      </c>
      <c r="AO30" s="49"/>
    </row>
    <row r="31" spans="2:41" s="16" customFormat="1" ht="12.75">
      <c r="B31" s="62"/>
      <c r="C31" s="157" t="s">
        <v>320</v>
      </c>
      <c r="D31" s="62" t="s">
        <v>111</v>
      </c>
      <c r="E31" s="62">
        <v>1</v>
      </c>
      <c r="F31" s="62" t="s">
        <v>95</v>
      </c>
      <c r="G31" s="158"/>
      <c r="H31" s="158"/>
      <c r="I31" s="158">
        <v>8.2</v>
      </c>
      <c r="J31" s="159" t="s">
        <v>46</v>
      </c>
      <c r="K31" s="160"/>
      <c r="L31" s="158"/>
      <c r="M31" s="62"/>
      <c r="N31" s="84"/>
      <c r="O31" s="159"/>
      <c r="P31" s="160"/>
      <c r="Q31" s="158"/>
      <c r="R31" s="62"/>
      <c r="S31" s="84"/>
      <c r="T31" s="159"/>
      <c r="U31" s="160"/>
      <c r="V31" s="158"/>
      <c r="W31" s="62"/>
      <c r="X31" s="84"/>
      <c r="Y31" s="159"/>
      <c r="Z31" s="160"/>
      <c r="AA31" s="158"/>
      <c r="AB31" s="62"/>
      <c r="AC31" s="84"/>
      <c r="AD31" s="159"/>
      <c r="AE31" s="160">
        <v>0.883</v>
      </c>
      <c r="AF31" s="158">
        <f t="shared" si="2"/>
        <v>7.2406</v>
      </c>
      <c r="AG31" s="62" t="str">
        <f t="shared" si="3"/>
        <v>CHF</v>
      </c>
      <c r="AH31" s="84">
        <f t="shared" si="4"/>
        <v>7.2406</v>
      </c>
      <c r="AI31" s="159" t="s">
        <v>46</v>
      </c>
      <c r="AJ31" s="160">
        <v>0.883</v>
      </c>
      <c r="AK31" s="158">
        <f t="shared" si="5"/>
        <v>7.2406</v>
      </c>
      <c r="AL31" s="62" t="str">
        <f t="shared" si="6"/>
        <v>CHF</v>
      </c>
      <c r="AM31" s="84">
        <f t="shared" si="7"/>
        <v>7.2406</v>
      </c>
      <c r="AN31" s="159" t="s">
        <v>46</v>
      </c>
      <c r="AO31" s="49"/>
    </row>
    <row r="32" spans="2:41" s="16" customFormat="1" ht="12.75">
      <c r="B32" s="55"/>
      <c r="C32" s="56" t="s">
        <v>320</v>
      </c>
      <c r="D32" s="55" t="s">
        <v>113</v>
      </c>
      <c r="E32" s="55">
        <v>1</v>
      </c>
      <c r="F32" s="55" t="s">
        <v>260</v>
      </c>
      <c r="G32" s="57"/>
      <c r="H32" s="57"/>
      <c r="I32" s="57">
        <v>2.3</v>
      </c>
      <c r="J32" s="58" t="s">
        <v>46</v>
      </c>
      <c r="K32" s="59"/>
      <c r="L32" s="57"/>
      <c r="M32" s="55"/>
      <c r="N32" s="60"/>
      <c r="O32" s="58"/>
      <c r="P32" s="59"/>
      <c r="Q32" s="57"/>
      <c r="R32" s="55"/>
      <c r="S32" s="60"/>
      <c r="T32" s="58"/>
      <c r="U32" s="59"/>
      <c r="V32" s="57"/>
      <c r="W32" s="55"/>
      <c r="X32" s="60"/>
      <c r="Y32" s="58"/>
      <c r="Z32" s="59"/>
      <c r="AA32" s="57"/>
      <c r="AB32" s="55"/>
      <c r="AC32" s="60"/>
      <c r="AD32" s="58"/>
      <c r="AE32" s="59">
        <v>0.883</v>
      </c>
      <c r="AF32" s="57">
        <f t="shared" si="2"/>
        <v>2.0309</v>
      </c>
      <c r="AG32" s="55" t="str">
        <f t="shared" si="3"/>
        <v>CHF</v>
      </c>
      <c r="AH32" s="60">
        <f t="shared" si="4"/>
        <v>2.0309</v>
      </c>
      <c r="AI32" s="58" t="s">
        <v>46</v>
      </c>
      <c r="AJ32" s="59">
        <v>0.883</v>
      </c>
      <c r="AK32" s="57">
        <f t="shared" si="5"/>
        <v>2.0309</v>
      </c>
      <c r="AL32" s="55" t="str">
        <f t="shared" si="6"/>
        <v>CHF</v>
      </c>
      <c r="AM32" s="60">
        <f t="shared" si="7"/>
        <v>2.0309</v>
      </c>
      <c r="AN32" s="58" t="s">
        <v>46</v>
      </c>
      <c r="AO32" s="49"/>
    </row>
    <row r="33" spans="2:41" s="16" customFormat="1" ht="12.75">
      <c r="B33" s="2" t="s">
        <v>24</v>
      </c>
      <c r="C33" s="17"/>
      <c r="G33" s="18"/>
      <c r="H33" s="18"/>
      <c r="I33" s="18"/>
      <c r="J33" s="41"/>
      <c r="K33" s="35"/>
      <c r="L33" s="18"/>
      <c r="M33" s="266"/>
      <c r="N33" s="49"/>
      <c r="O33" s="41"/>
      <c r="P33" s="45"/>
      <c r="Q33" s="18"/>
      <c r="R33" s="267"/>
      <c r="S33" s="49"/>
      <c r="T33" s="41"/>
      <c r="U33" s="45"/>
      <c r="V33" s="18"/>
      <c r="W33" s="267"/>
      <c r="X33" s="49"/>
      <c r="Y33" s="41"/>
      <c r="Z33" s="45"/>
      <c r="AA33" s="18"/>
      <c r="AB33" s="267"/>
      <c r="AC33" s="49"/>
      <c r="AD33" s="41"/>
      <c r="AE33" s="48"/>
      <c r="AF33" s="18"/>
      <c r="AG33" s="267"/>
      <c r="AH33" s="49"/>
      <c r="AI33" s="41"/>
      <c r="AJ33" s="48"/>
      <c r="AK33" s="18"/>
      <c r="AL33" s="18"/>
      <c r="AM33" s="19">
        <f aca="true" t="shared" si="8" ref="AM33:AM53">IF(AL33=AN33,AK33,AK33*$AH$6)</f>
        <v>0</v>
      </c>
      <c r="AN33" s="41"/>
      <c r="AO33" s="49"/>
    </row>
    <row r="34" spans="2:41" s="16" customFormat="1" ht="12.75">
      <c r="B34" s="55"/>
      <c r="C34" s="56" t="s">
        <v>108</v>
      </c>
      <c r="D34" s="55" t="s">
        <v>107</v>
      </c>
      <c r="E34" s="55">
        <v>8000</v>
      </c>
      <c r="F34" s="55" t="s">
        <v>95</v>
      </c>
      <c r="G34" s="57"/>
      <c r="H34" s="57"/>
      <c r="I34" s="57">
        <v>3.85</v>
      </c>
      <c r="J34" s="58" t="s">
        <v>46</v>
      </c>
      <c r="K34" s="59">
        <v>2</v>
      </c>
      <c r="L34" s="57">
        <f>$I34*K34</f>
        <v>7.7</v>
      </c>
      <c r="M34" s="55" t="str">
        <f>$J34</f>
        <v>CHF</v>
      </c>
      <c r="N34" s="60">
        <f aca="true" t="shared" si="9" ref="N34:N45">IF(M34=O34,L34,L34*$AH$6)</f>
        <v>7.7</v>
      </c>
      <c r="O34" s="58" t="s">
        <v>46</v>
      </c>
      <c r="P34" s="61">
        <v>2</v>
      </c>
      <c r="Q34" s="57">
        <f>$I34*P34</f>
        <v>7.7</v>
      </c>
      <c r="R34" s="55" t="str">
        <f>$J34</f>
        <v>CHF</v>
      </c>
      <c r="S34" s="60">
        <f aca="true" t="shared" si="10" ref="S34:S46">IF(R34=T34,Q34,Q34*$AH$6)</f>
        <v>7.7</v>
      </c>
      <c r="T34" s="58" t="s">
        <v>46</v>
      </c>
      <c r="U34" s="59">
        <v>2</v>
      </c>
      <c r="V34" s="57">
        <f>$I34*U34</f>
        <v>7.7</v>
      </c>
      <c r="W34" s="55" t="str">
        <f>$J34</f>
        <v>CHF</v>
      </c>
      <c r="X34" s="60">
        <f aca="true" t="shared" si="11" ref="X34:X46">IF(W34=Y34,V34,V34*$AH$6)</f>
        <v>7.7</v>
      </c>
      <c r="Y34" s="58" t="s">
        <v>46</v>
      </c>
      <c r="Z34" s="59">
        <v>2</v>
      </c>
      <c r="AA34" s="57">
        <f aca="true" t="shared" si="12" ref="AA34:AA45">$I34*Z34</f>
        <v>7.7</v>
      </c>
      <c r="AB34" s="55" t="str">
        <f>$J34</f>
        <v>CHF</v>
      </c>
      <c r="AC34" s="60">
        <f aca="true" t="shared" si="13" ref="AC34:AC45">IF(AB34=AD34,AA34,AA34*$AH$6)</f>
        <v>7.7</v>
      </c>
      <c r="AD34" s="58" t="s">
        <v>46</v>
      </c>
      <c r="AE34" s="59">
        <v>2</v>
      </c>
      <c r="AF34" s="57">
        <f aca="true" t="shared" si="14" ref="AF34:AF40">$I34*AE34</f>
        <v>7.7</v>
      </c>
      <c r="AG34" s="55" t="str">
        <f>$J34</f>
        <v>CHF</v>
      </c>
      <c r="AH34" s="60">
        <f aca="true" t="shared" si="15" ref="AH34:AH53">IF(AG34=AI34,AF34,AF34*$AH$6)</f>
        <v>7.7</v>
      </c>
      <c r="AI34" s="58" t="s">
        <v>46</v>
      </c>
      <c r="AJ34" s="59">
        <v>2</v>
      </c>
      <c r="AK34" s="57">
        <f aca="true" t="shared" si="16" ref="AK34:AK40">$I34*AJ34</f>
        <v>7.7</v>
      </c>
      <c r="AL34" s="55" t="str">
        <f>$J34</f>
        <v>CHF</v>
      </c>
      <c r="AM34" s="60">
        <f>IF(AL34=AN34,AK34,AK34*$AH$6)</f>
        <v>7.7</v>
      </c>
      <c r="AN34" s="58" t="s">
        <v>46</v>
      </c>
      <c r="AO34" s="49"/>
    </row>
    <row r="35" spans="2:41" s="16" customFormat="1" ht="12.75">
      <c r="B35" s="62"/>
      <c r="C35" s="157" t="s">
        <v>259</v>
      </c>
      <c r="D35" s="62" t="s">
        <v>111</v>
      </c>
      <c r="E35" s="62">
        <v>1</v>
      </c>
      <c r="F35" s="62" t="s">
        <v>260</v>
      </c>
      <c r="G35" s="158"/>
      <c r="H35" s="158"/>
      <c r="I35" s="158">
        <v>19</v>
      </c>
      <c r="J35" s="159" t="s">
        <v>46</v>
      </c>
      <c r="K35" s="160">
        <f>183*0.012+6*0.006</f>
        <v>2.232</v>
      </c>
      <c r="L35" s="158">
        <f>$I35*K35</f>
        <v>42.408</v>
      </c>
      <c r="M35" s="62" t="str">
        <f>$J35</f>
        <v>CHF</v>
      </c>
      <c r="N35" s="84">
        <f t="shared" si="9"/>
        <v>42.408</v>
      </c>
      <c r="O35" s="159" t="s">
        <v>46</v>
      </c>
      <c r="P35" s="160">
        <f>183*0.012+6*0.006</f>
        <v>2.232</v>
      </c>
      <c r="Q35" s="158">
        <f>$I35*P35</f>
        <v>42.408</v>
      </c>
      <c r="R35" s="62" t="str">
        <f>$J35</f>
        <v>CHF</v>
      </c>
      <c r="S35" s="84">
        <f t="shared" si="10"/>
        <v>42.408</v>
      </c>
      <c r="T35" s="159" t="s">
        <v>46</v>
      </c>
      <c r="U35" s="160"/>
      <c r="V35" s="158">
        <f>$I35*U35</f>
        <v>0</v>
      </c>
      <c r="W35" s="62" t="str">
        <f>$J35</f>
        <v>CHF</v>
      </c>
      <c r="X35" s="84">
        <f t="shared" si="11"/>
        <v>0</v>
      </c>
      <c r="Y35" s="159" t="s">
        <v>46</v>
      </c>
      <c r="Z35" s="160"/>
      <c r="AA35" s="158">
        <f t="shared" si="12"/>
        <v>0</v>
      </c>
      <c r="AB35" s="62" t="str">
        <f>$J35</f>
        <v>CHF</v>
      </c>
      <c r="AC35" s="84">
        <f t="shared" si="13"/>
        <v>0</v>
      </c>
      <c r="AD35" s="159" t="s">
        <v>46</v>
      </c>
      <c r="AE35" s="160"/>
      <c r="AF35" s="158">
        <f t="shared" si="14"/>
        <v>0</v>
      </c>
      <c r="AG35" s="62" t="str">
        <f>$J35</f>
        <v>CHF</v>
      </c>
      <c r="AH35" s="84">
        <f t="shared" si="15"/>
        <v>0</v>
      </c>
      <c r="AI35" s="159" t="s">
        <v>46</v>
      </c>
      <c r="AJ35" s="160"/>
      <c r="AK35" s="158">
        <f t="shared" si="16"/>
        <v>0</v>
      </c>
      <c r="AL35" s="62" t="str">
        <f>$J35</f>
        <v>CHF</v>
      </c>
      <c r="AM35" s="84">
        <f>IF(AL35=AN35,AK35,AK35*$AH$6)</f>
        <v>0</v>
      </c>
      <c r="AN35" s="159" t="s">
        <v>46</v>
      </c>
      <c r="AO35" s="49"/>
    </row>
    <row r="36" spans="2:41" s="16" customFormat="1" ht="12.75">
      <c r="B36" s="55"/>
      <c r="C36" s="56" t="s">
        <v>258</v>
      </c>
      <c r="D36" s="55" t="s">
        <v>113</v>
      </c>
      <c r="E36" s="55">
        <v>1</v>
      </c>
      <c r="F36" s="55" t="s">
        <v>260</v>
      </c>
      <c r="G36" s="57"/>
      <c r="H36" s="57"/>
      <c r="I36" s="57">
        <v>0.7</v>
      </c>
      <c r="J36" s="58" t="s">
        <v>46</v>
      </c>
      <c r="K36" s="59">
        <f>183*0.012+6*0.006</f>
        <v>2.232</v>
      </c>
      <c r="L36" s="57">
        <f>$I36*K36</f>
        <v>1.5624</v>
      </c>
      <c r="M36" s="55" t="str">
        <f>$J36</f>
        <v>CHF</v>
      </c>
      <c r="N36" s="60">
        <f t="shared" si="9"/>
        <v>1.5624</v>
      </c>
      <c r="O36" s="58" t="s">
        <v>46</v>
      </c>
      <c r="P36" s="59">
        <f>183*0.012+6*0.006</f>
        <v>2.232</v>
      </c>
      <c r="Q36" s="57">
        <f>$I36*P36</f>
        <v>1.5624</v>
      </c>
      <c r="R36" s="55" t="str">
        <f>$J36</f>
        <v>CHF</v>
      </c>
      <c r="S36" s="60">
        <f t="shared" si="10"/>
        <v>1.5624</v>
      </c>
      <c r="T36" s="58" t="s">
        <v>46</v>
      </c>
      <c r="U36" s="59"/>
      <c r="V36" s="57">
        <f>$I36*U36</f>
        <v>0</v>
      </c>
      <c r="W36" s="55" t="str">
        <f>$J36</f>
        <v>CHF</v>
      </c>
      <c r="X36" s="60">
        <f t="shared" si="11"/>
        <v>0</v>
      </c>
      <c r="Y36" s="58" t="s">
        <v>46</v>
      </c>
      <c r="Z36" s="59"/>
      <c r="AA36" s="57">
        <f t="shared" si="12"/>
        <v>0</v>
      </c>
      <c r="AB36" s="55" t="str">
        <f>$J36</f>
        <v>CHF</v>
      </c>
      <c r="AC36" s="60">
        <f t="shared" si="13"/>
        <v>0</v>
      </c>
      <c r="AD36" s="58" t="s">
        <v>46</v>
      </c>
      <c r="AE36" s="59"/>
      <c r="AF36" s="57">
        <f t="shared" si="14"/>
        <v>0</v>
      </c>
      <c r="AG36" s="55" t="str">
        <f>$J36</f>
        <v>CHF</v>
      </c>
      <c r="AH36" s="60">
        <f t="shared" si="15"/>
        <v>0</v>
      </c>
      <c r="AI36" s="58" t="s">
        <v>46</v>
      </c>
      <c r="AJ36" s="59"/>
      <c r="AK36" s="57">
        <f t="shared" si="16"/>
        <v>0</v>
      </c>
      <c r="AL36" s="55" t="str">
        <f>$J36</f>
        <v>CHF</v>
      </c>
      <c r="AM36" s="60">
        <f t="shared" si="8"/>
        <v>0</v>
      </c>
      <c r="AN36" s="58" t="s">
        <v>46</v>
      </c>
      <c r="AO36" s="49"/>
    </row>
    <row r="37" spans="2:41" s="16" customFormat="1" ht="12.75">
      <c r="B37" s="55"/>
      <c r="C37" s="56" t="s">
        <v>277</v>
      </c>
      <c r="D37" s="55" t="s">
        <v>280</v>
      </c>
      <c r="E37" s="55"/>
      <c r="F37" s="55"/>
      <c r="G37" s="57"/>
      <c r="H37" s="57"/>
      <c r="I37" s="57">
        <v>24.85</v>
      </c>
      <c r="J37" s="58" t="s">
        <v>46</v>
      </c>
      <c r="K37" s="59">
        <v>1</v>
      </c>
      <c r="L37" s="57">
        <f>I37*K37</f>
        <v>24.85</v>
      </c>
      <c r="M37" s="55" t="str">
        <f aca="true" t="shared" si="17" ref="M37:M47">$J37</f>
        <v>CHF</v>
      </c>
      <c r="N37" s="60">
        <f t="shared" si="9"/>
        <v>24.85</v>
      </c>
      <c r="O37" s="58" t="s">
        <v>46</v>
      </c>
      <c r="P37" s="61">
        <v>1</v>
      </c>
      <c r="Q37" s="57">
        <f aca="true" t="shared" si="18" ref="Q37:Q44">$I37*P37</f>
        <v>24.85</v>
      </c>
      <c r="R37" s="55" t="str">
        <f aca="true" t="shared" si="19" ref="R37:R53">$J37</f>
        <v>CHF</v>
      </c>
      <c r="S37" s="60">
        <f t="shared" si="10"/>
        <v>24.85</v>
      </c>
      <c r="T37" s="58" t="s">
        <v>46</v>
      </c>
      <c r="U37" s="61">
        <v>0</v>
      </c>
      <c r="V37" s="57">
        <f aca="true" t="shared" si="20" ref="V37:V53">$I37*U37</f>
        <v>0</v>
      </c>
      <c r="W37" s="55" t="str">
        <f aca="true" t="shared" si="21" ref="W37:W53">$J37</f>
        <v>CHF</v>
      </c>
      <c r="X37" s="60">
        <f>IF(W37=Y37,V37,V37*$AH$6)</f>
        <v>0</v>
      </c>
      <c r="Y37" s="58" t="s">
        <v>46</v>
      </c>
      <c r="Z37" s="61">
        <v>0</v>
      </c>
      <c r="AA37" s="57">
        <f t="shared" si="12"/>
        <v>0</v>
      </c>
      <c r="AB37" s="55" t="str">
        <f aca="true" t="shared" si="22" ref="AB37:AB48">$J37</f>
        <v>CHF</v>
      </c>
      <c r="AC37" s="60">
        <f>IF(AB37=AD37,AA37,AA37*$AH$6)</f>
        <v>0</v>
      </c>
      <c r="AD37" s="58" t="s">
        <v>46</v>
      </c>
      <c r="AE37" s="75">
        <v>0</v>
      </c>
      <c r="AF37" s="57">
        <f t="shared" si="14"/>
        <v>0</v>
      </c>
      <c r="AG37" s="57" t="str">
        <f aca="true" t="shared" si="23" ref="AG37:AG53">$J37</f>
        <v>CHF</v>
      </c>
      <c r="AH37" s="60">
        <f>IF(AG37=AI37,AF37,AF37*$AH$6)</f>
        <v>0</v>
      </c>
      <c r="AI37" s="58" t="s">
        <v>46</v>
      </c>
      <c r="AJ37" s="75">
        <v>0</v>
      </c>
      <c r="AK37" s="57">
        <f t="shared" si="16"/>
        <v>0</v>
      </c>
      <c r="AL37" s="55" t="str">
        <f aca="true" t="shared" si="24" ref="AL37:AL53">$J37</f>
        <v>CHF</v>
      </c>
      <c r="AM37" s="60">
        <f>IF(AL37=AN37,AK37,AK37*$AH$6)</f>
        <v>0</v>
      </c>
      <c r="AN37" s="58" t="s">
        <v>46</v>
      </c>
      <c r="AO37" s="49"/>
    </row>
    <row r="38" spans="2:41" s="16" customFormat="1" ht="12.75">
      <c r="B38" s="55"/>
      <c r="C38" s="56" t="s">
        <v>278</v>
      </c>
      <c r="D38" s="55" t="s">
        <v>279</v>
      </c>
      <c r="E38" s="55"/>
      <c r="F38" s="55"/>
      <c r="G38" s="57"/>
      <c r="H38" s="57"/>
      <c r="I38" s="57">
        <v>14.13</v>
      </c>
      <c r="J38" s="58" t="s">
        <v>46</v>
      </c>
      <c r="K38" s="59">
        <v>0</v>
      </c>
      <c r="L38" s="57">
        <f>I38*K38</f>
        <v>0</v>
      </c>
      <c r="M38" s="55" t="str">
        <f t="shared" si="17"/>
        <v>CHF</v>
      </c>
      <c r="N38" s="60">
        <f t="shared" si="9"/>
        <v>0</v>
      </c>
      <c r="O38" s="58" t="s">
        <v>46</v>
      </c>
      <c r="P38" s="61">
        <v>0</v>
      </c>
      <c r="Q38" s="57">
        <f t="shared" si="18"/>
        <v>0</v>
      </c>
      <c r="R38" s="55" t="str">
        <f t="shared" si="19"/>
        <v>CHF</v>
      </c>
      <c r="S38" s="60">
        <f t="shared" si="10"/>
        <v>0</v>
      </c>
      <c r="T38" s="58" t="s">
        <v>46</v>
      </c>
      <c r="U38" s="61">
        <v>1</v>
      </c>
      <c r="V38" s="57">
        <f t="shared" si="20"/>
        <v>14.13</v>
      </c>
      <c r="W38" s="55" t="str">
        <f t="shared" si="21"/>
        <v>CHF</v>
      </c>
      <c r="X38" s="60">
        <f>IF(W38=Y38,V38,V38*$AH$6)</f>
        <v>14.13</v>
      </c>
      <c r="Y38" s="58" t="s">
        <v>46</v>
      </c>
      <c r="Z38" s="61">
        <v>1</v>
      </c>
      <c r="AA38" s="57">
        <f t="shared" si="12"/>
        <v>14.13</v>
      </c>
      <c r="AB38" s="55" t="str">
        <f t="shared" si="22"/>
        <v>CHF</v>
      </c>
      <c r="AC38" s="60">
        <f>IF(AB38=AD38,AA38,AA38*$AH$6)</f>
        <v>14.13</v>
      </c>
      <c r="AD38" s="58" t="s">
        <v>46</v>
      </c>
      <c r="AE38" s="75">
        <v>0</v>
      </c>
      <c r="AF38" s="57">
        <f t="shared" si="14"/>
        <v>0</v>
      </c>
      <c r="AG38" s="57" t="str">
        <f t="shared" si="23"/>
        <v>CHF</v>
      </c>
      <c r="AH38" s="60">
        <f>IF(AG38=AI38,AF38,AF38*$AH$6)</f>
        <v>0</v>
      </c>
      <c r="AI38" s="58" t="s">
        <v>46</v>
      </c>
      <c r="AJ38" s="75">
        <v>0</v>
      </c>
      <c r="AK38" s="57">
        <f t="shared" si="16"/>
        <v>0</v>
      </c>
      <c r="AL38" s="55" t="str">
        <f t="shared" si="24"/>
        <v>CHF</v>
      </c>
      <c r="AM38" s="60">
        <f>IF(AL38=AN38,AK38,AK38*$AH$6)</f>
        <v>0</v>
      </c>
      <c r="AN38" s="58" t="s">
        <v>46</v>
      </c>
      <c r="AO38" s="49"/>
    </row>
    <row r="39" spans="2:41" s="16" customFormat="1" ht="12.75">
      <c r="B39" s="55"/>
      <c r="C39" s="56" t="s">
        <v>322</v>
      </c>
      <c r="D39" s="55" t="s">
        <v>323</v>
      </c>
      <c r="E39" s="55"/>
      <c r="F39" s="55"/>
      <c r="G39" s="57"/>
      <c r="H39" s="57"/>
      <c r="I39" s="57">
        <v>38.23</v>
      </c>
      <c r="J39" s="58" t="s">
        <v>46</v>
      </c>
      <c r="K39" s="59">
        <v>0</v>
      </c>
      <c r="L39" s="57">
        <f aca="true" t="shared" si="25" ref="L39:L44">I39*K39</f>
        <v>0</v>
      </c>
      <c r="M39" s="55" t="str">
        <f t="shared" si="17"/>
        <v>CHF</v>
      </c>
      <c r="N39" s="60">
        <f t="shared" si="9"/>
        <v>0</v>
      </c>
      <c r="O39" s="58" t="s">
        <v>46</v>
      </c>
      <c r="P39" s="61">
        <v>0</v>
      </c>
      <c r="Q39" s="57">
        <f t="shared" si="18"/>
        <v>0</v>
      </c>
      <c r="R39" s="55" t="str">
        <f t="shared" si="19"/>
        <v>CHF</v>
      </c>
      <c r="S39" s="60">
        <f t="shared" si="10"/>
        <v>0</v>
      </c>
      <c r="T39" s="58" t="s">
        <v>46</v>
      </c>
      <c r="U39" s="61">
        <v>0</v>
      </c>
      <c r="V39" s="57">
        <f t="shared" si="20"/>
        <v>0</v>
      </c>
      <c r="W39" s="55" t="str">
        <f t="shared" si="21"/>
        <v>CHF</v>
      </c>
      <c r="X39" s="60">
        <f t="shared" si="11"/>
        <v>0</v>
      </c>
      <c r="Y39" s="58" t="s">
        <v>46</v>
      </c>
      <c r="Z39" s="61">
        <v>0</v>
      </c>
      <c r="AA39" s="57">
        <f t="shared" si="12"/>
        <v>0</v>
      </c>
      <c r="AB39" s="55" t="str">
        <f t="shared" si="22"/>
        <v>CHF</v>
      </c>
      <c r="AC39" s="60">
        <f t="shared" si="13"/>
        <v>0</v>
      </c>
      <c r="AD39" s="58" t="s">
        <v>46</v>
      </c>
      <c r="AE39" s="75">
        <v>1</v>
      </c>
      <c r="AF39" s="57">
        <f t="shared" si="14"/>
        <v>38.23</v>
      </c>
      <c r="AG39" s="57" t="str">
        <f t="shared" si="23"/>
        <v>CHF</v>
      </c>
      <c r="AH39" s="60">
        <f t="shared" si="15"/>
        <v>38.23</v>
      </c>
      <c r="AI39" s="58" t="s">
        <v>46</v>
      </c>
      <c r="AJ39" s="75">
        <v>1</v>
      </c>
      <c r="AK39" s="57">
        <f t="shared" si="16"/>
        <v>38.23</v>
      </c>
      <c r="AL39" s="55" t="str">
        <f t="shared" si="24"/>
        <v>CHF</v>
      </c>
      <c r="AM39" s="60">
        <f t="shared" si="8"/>
        <v>38.23</v>
      </c>
      <c r="AN39" s="58" t="s">
        <v>46</v>
      </c>
      <c r="AO39" s="49"/>
    </row>
    <row r="40" spans="2:41" s="16" customFormat="1" ht="12.75">
      <c r="B40" s="55"/>
      <c r="C40" s="56" t="s">
        <v>317</v>
      </c>
      <c r="D40" s="55"/>
      <c r="E40" s="55"/>
      <c r="F40" s="55"/>
      <c r="G40" s="57"/>
      <c r="H40" s="57"/>
      <c r="I40" s="57">
        <v>32.32</v>
      </c>
      <c r="J40" s="58" t="s">
        <v>46</v>
      </c>
      <c r="K40" s="59">
        <v>1</v>
      </c>
      <c r="L40" s="57">
        <f t="shared" si="25"/>
        <v>32.32</v>
      </c>
      <c r="M40" s="55" t="str">
        <f t="shared" si="17"/>
        <v>CHF</v>
      </c>
      <c r="N40" s="60">
        <f t="shared" si="9"/>
        <v>32.32</v>
      </c>
      <c r="O40" s="58" t="s">
        <v>46</v>
      </c>
      <c r="P40" s="61">
        <v>1</v>
      </c>
      <c r="Q40" s="57">
        <f t="shared" si="18"/>
        <v>32.32</v>
      </c>
      <c r="R40" s="55" t="str">
        <f t="shared" si="19"/>
        <v>CHF</v>
      </c>
      <c r="S40" s="60">
        <f t="shared" si="10"/>
        <v>32.32</v>
      </c>
      <c r="T40" s="58" t="s">
        <v>46</v>
      </c>
      <c r="U40" s="61">
        <v>1</v>
      </c>
      <c r="V40" s="57">
        <f t="shared" si="20"/>
        <v>32.32</v>
      </c>
      <c r="W40" s="55" t="str">
        <f t="shared" si="21"/>
        <v>CHF</v>
      </c>
      <c r="X40" s="60">
        <f t="shared" si="11"/>
        <v>32.32</v>
      </c>
      <c r="Y40" s="58" t="s">
        <v>46</v>
      </c>
      <c r="Z40" s="61">
        <v>1</v>
      </c>
      <c r="AA40" s="57">
        <f t="shared" si="12"/>
        <v>32.32</v>
      </c>
      <c r="AB40" s="55" t="str">
        <f t="shared" si="22"/>
        <v>CHF</v>
      </c>
      <c r="AC40" s="60">
        <f t="shared" si="13"/>
        <v>32.32</v>
      </c>
      <c r="AD40" s="58" t="s">
        <v>46</v>
      </c>
      <c r="AE40" s="75">
        <v>1</v>
      </c>
      <c r="AF40" s="57">
        <f t="shared" si="14"/>
        <v>32.32</v>
      </c>
      <c r="AG40" s="57" t="str">
        <f t="shared" si="23"/>
        <v>CHF</v>
      </c>
      <c r="AH40" s="60">
        <f t="shared" si="15"/>
        <v>32.32</v>
      </c>
      <c r="AI40" s="58" t="s">
        <v>46</v>
      </c>
      <c r="AJ40" s="75">
        <v>1</v>
      </c>
      <c r="AK40" s="57">
        <f t="shared" si="16"/>
        <v>32.32</v>
      </c>
      <c r="AL40" s="55" t="str">
        <f t="shared" si="24"/>
        <v>CHF</v>
      </c>
      <c r="AM40" s="60">
        <f t="shared" si="8"/>
        <v>32.32</v>
      </c>
      <c r="AN40" s="58" t="s">
        <v>46</v>
      </c>
      <c r="AO40" s="49"/>
    </row>
    <row r="41" spans="2:41" ht="12.75">
      <c r="B41" s="29"/>
      <c r="C41" s="30" t="s">
        <v>110</v>
      </c>
      <c r="D41" s="29" t="s">
        <v>111</v>
      </c>
      <c r="E41" s="62"/>
      <c r="F41" s="29"/>
      <c r="G41" s="31"/>
      <c r="H41" s="31"/>
      <c r="I41" s="31">
        <f>23.85/170</f>
        <v>0.14029411764705882</v>
      </c>
      <c r="J41" s="42" t="s">
        <v>46</v>
      </c>
      <c r="K41" s="36">
        <v>61</v>
      </c>
      <c r="L41" s="31">
        <f t="shared" si="25"/>
        <v>8.557941176470589</v>
      </c>
      <c r="M41" s="29" t="str">
        <f t="shared" si="17"/>
        <v>CHF</v>
      </c>
      <c r="N41" s="32">
        <f t="shared" si="9"/>
        <v>8.557941176470589</v>
      </c>
      <c r="O41" s="42" t="s">
        <v>46</v>
      </c>
      <c r="P41" s="46">
        <v>61</v>
      </c>
      <c r="Q41" s="31">
        <f t="shared" si="18"/>
        <v>8.557941176470589</v>
      </c>
      <c r="R41" s="29" t="str">
        <f t="shared" si="19"/>
        <v>CHF</v>
      </c>
      <c r="S41" s="32">
        <f t="shared" si="10"/>
        <v>8.557941176470589</v>
      </c>
      <c r="T41" s="42" t="s">
        <v>46</v>
      </c>
      <c r="U41" s="46">
        <v>0</v>
      </c>
      <c r="V41" s="31">
        <f t="shared" si="20"/>
        <v>0</v>
      </c>
      <c r="W41" s="62" t="str">
        <f t="shared" si="21"/>
        <v>CHF</v>
      </c>
      <c r="X41" s="32">
        <f t="shared" si="11"/>
        <v>0</v>
      </c>
      <c r="Y41" s="42" t="s">
        <v>46</v>
      </c>
      <c r="Z41" s="46">
        <v>0</v>
      </c>
      <c r="AA41" s="31">
        <f t="shared" si="12"/>
        <v>0</v>
      </c>
      <c r="AB41" s="62" t="str">
        <f t="shared" si="22"/>
        <v>CHF</v>
      </c>
      <c r="AC41" s="32">
        <f t="shared" si="13"/>
        <v>0</v>
      </c>
      <c r="AD41" s="42" t="s">
        <v>46</v>
      </c>
      <c r="AE41" s="76"/>
      <c r="AF41" s="31"/>
      <c r="AG41" s="31" t="str">
        <f t="shared" si="23"/>
        <v>CHF</v>
      </c>
      <c r="AH41" s="32">
        <f t="shared" si="15"/>
        <v>0</v>
      </c>
      <c r="AI41" s="42" t="s">
        <v>46</v>
      </c>
      <c r="AJ41" s="76"/>
      <c r="AK41" s="31"/>
      <c r="AL41" s="62" t="str">
        <f t="shared" si="24"/>
        <v>CHF</v>
      </c>
      <c r="AM41" s="32">
        <f t="shared" si="8"/>
        <v>0</v>
      </c>
      <c r="AN41" s="42" t="s">
        <v>46</v>
      </c>
      <c r="AO41" s="11"/>
    </row>
    <row r="42" spans="2:41" s="16" customFormat="1" ht="12.75">
      <c r="B42" s="55"/>
      <c r="C42" s="56" t="s">
        <v>110</v>
      </c>
      <c r="D42" s="55" t="s">
        <v>113</v>
      </c>
      <c r="E42" s="55"/>
      <c r="F42" s="55"/>
      <c r="G42" s="57"/>
      <c r="H42" s="57"/>
      <c r="I42" s="57">
        <f>23.85/170/3</f>
        <v>0.04676470588235294</v>
      </c>
      <c r="J42" s="58" t="s">
        <v>46</v>
      </c>
      <c r="K42" s="59">
        <v>61</v>
      </c>
      <c r="L42" s="57">
        <f t="shared" si="25"/>
        <v>2.8526470588235293</v>
      </c>
      <c r="M42" s="55" t="str">
        <f t="shared" si="17"/>
        <v>CHF</v>
      </c>
      <c r="N42" s="60">
        <f t="shared" si="9"/>
        <v>2.8526470588235293</v>
      </c>
      <c r="O42" s="58" t="s">
        <v>46</v>
      </c>
      <c r="P42" s="61">
        <v>61</v>
      </c>
      <c r="Q42" s="57">
        <f t="shared" si="18"/>
        <v>2.8526470588235293</v>
      </c>
      <c r="R42" s="55" t="str">
        <f t="shared" si="19"/>
        <v>CHF</v>
      </c>
      <c r="S42" s="60">
        <f t="shared" si="10"/>
        <v>2.8526470588235293</v>
      </c>
      <c r="T42" s="58" t="s">
        <v>46</v>
      </c>
      <c r="U42" s="61">
        <v>0</v>
      </c>
      <c r="V42" s="57">
        <f t="shared" si="20"/>
        <v>0</v>
      </c>
      <c r="W42" s="55" t="str">
        <f t="shared" si="21"/>
        <v>CHF</v>
      </c>
      <c r="X42" s="60">
        <f t="shared" si="11"/>
        <v>0</v>
      </c>
      <c r="Y42" s="58" t="s">
        <v>46</v>
      </c>
      <c r="Z42" s="61">
        <v>0</v>
      </c>
      <c r="AA42" s="57">
        <f t="shared" si="12"/>
        <v>0</v>
      </c>
      <c r="AB42" s="55" t="str">
        <f t="shared" si="22"/>
        <v>CHF</v>
      </c>
      <c r="AC42" s="60">
        <f t="shared" si="13"/>
        <v>0</v>
      </c>
      <c r="AD42" s="58" t="s">
        <v>46</v>
      </c>
      <c r="AE42" s="75"/>
      <c r="AF42" s="57">
        <f>$I42*AE42</f>
        <v>0</v>
      </c>
      <c r="AG42" s="57" t="str">
        <f t="shared" si="23"/>
        <v>CHF</v>
      </c>
      <c r="AH42" s="60">
        <f t="shared" si="15"/>
        <v>0</v>
      </c>
      <c r="AI42" s="58" t="s">
        <v>46</v>
      </c>
      <c r="AJ42" s="75"/>
      <c r="AK42" s="57">
        <f>$I42*AJ42</f>
        <v>0</v>
      </c>
      <c r="AL42" s="55" t="str">
        <f t="shared" si="24"/>
        <v>CHF</v>
      </c>
      <c r="AM42" s="60">
        <f t="shared" si="8"/>
        <v>0</v>
      </c>
      <c r="AN42" s="58" t="s">
        <v>46</v>
      </c>
      <c r="AO42" s="49"/>
    </row>
    <row r="43" spans="2:41" s="16" customFormat="1" ht="12.75">
      <c r="B43" s="55"/>
      <c r="C43" s="56" t="s">
        <v>109</v>
      </c>
      <c r="D43" s="55" t="s">
        <v>114</v>
      </c>
      <c r="E43" s="55">
        <v>400</v>
      </c>
      <c r="F43" s="55" t="s">
        <v>90</v>
      </c>
      <c r="G43" s="57"/>
      <c r="H43" s="57"/>
      <c r="I43" s="57">
        <f>6935/(400*3)</f>
        <v>5.779166666666667</v>
      </c>
      <c r="J43" s="58" t="s">
        <v>46</v>
      </c>
      <c r="K43" s="59">
        <v>0</v>
      </c>
      <c r="L43" s="57">
        <f t="shared" si="25"/>
        <v>0</v>
      </c>
      <c r="M43" s="55" t="str">
        <f t="shared" si="17"/>
        <v>CHF</v>
      </c>
      <c r="N43" s="60">
        <f t="shared" si="9"/>
        <v>0</v>
      </c>
      <c r="O43" s="58" t="s">
        <v>46</v>
      </c>
      <c r="P43" s="61">
        <v>0</v>
      </c>
      <c r="Q43" s="57">
        <f t="shared" si="18"/>
        <v>0</v>
      </c>
      <c r="R43" s="55" t="str">
        <f t="shared" si="19"/>
        <v>CHF</v>
      </c>
      <c r="S43" s="60">
        <f t="shared" si="10"/>
        <v>0</v>
      </c>
      <c r="T43" s="58" t="s">
        <v>46</v>
      </c>
      <c r="U43" s="61">
        <v>3</v>
      </c>
      <c r="V43" s="57">
        <f t="shared" si="20"/>
        <v>17.3375</v>
      </c>
      <c r="W43" s="55" t="str">
        <f t="shared" si="21"/>
        <v>CHF</v>
      </c>
      <c r="X43" s="60">
        <f t="shared" si="11"/>
        <v>17.3375</v>
      </c>
      <c r="Y43" s="58" t="s">
        <v>46</v>
      </c>
      <c r="Z43" s="61">
        <v>3</v>
      </c>
      <c r="AA43" s="57">
        <f t="shared" si="12"/>
        <v>17.3375</v>
      </c>
      <c r="AB43" s="55" t="str">
        <f t="shared" si="22"/>
        <v>CHF</v>
      </c>
      <c r="AC43" s="60">
        <f t="shared" si="13"/>
        <v>17.3375</v>
      </c>
      <c r="AD43" s="58" t="s">
        <v>46</v>
      </c>
      <c r="AE43" s="75"/>
      <c r="AF43" s="57">
        <f>$I43*AE43</f>
        <v>0</v>
      </c>
      <c r="AG43" s="57" t="str">
        <f t="shared" si="23"/>
        <v>CHF</v>
      </c>
      <c r="AH43" s="60">
        <f t="shared" si="15"/>
        <v>0</v>
      </c>
      <c r="AI43" s="58" t="s">
        <v>46</v>
      </c>
      <c r="AJ43" s="75"/>
      <c r="AK43" s="57">
        <f>$I43*AJ43</f>
        <v>0</v>
      </c>
      <c r="AL43" s="55" t="str">
        <f t="shared" si="24"/>
        <v>CHF</v>
      </c>
      <c r="AM43" s="60">
        <f t="shared" si="8"/>
        <v>0</v>
      </c>
      <c r="AN43" s="58" t="s">
        <v>46</v>
      </c>
      <c r="AO43" s="49"/>
    </row>
    <row r="44" spans="2:41" s="16" customFormat="1" ht="12.75">
      <c r="B44" s="55"/>
      <c r="C44" s="56" t="s">
        <v>118</v>
      </c>
      <c r="D44" s="55" t="s">
        <v>117</v>
      </c>
      <c r="E44" s="55">
        <v>13</v>
      </c>
      <c r="F44" s="55" t="s">
        <v>119</v>
      </c>
      <c r="G44" s="57"/>
      <c r="H44" s="57"/>
      <c r="I44" s="57">
        <f>3.5*13/100</f>
        <v>0.455</v>
      </c>
      <c r="J44" s="58" t="s">
        <v>46</v>
      </c>
      <c r="K44" s="59">
        <v>1</v>
      </c>
      <c r="L44" s="57">
        <f t="shared" si="25"/>
        <v>0.455</v>
      </c>
      <c r="M44" s="55" t="str">
        <f t="shared" si="17"/>
        <v>CHF</v>
      </c>
      <c r="N44" s="60">
        <f t="shared" si="9"/>
        <v>0.455</v>
      </c>
      <c r="O44" s="58" t="s">
        <v>46</v>
      </c>
      <c r="P44" s="61">
        <v>1</v>
      </c>
      <c r="Q44" s="57">
        <f t="shared" si="18"/>
        <v>0.455</v>
      </c>
      <c r="R44" s="55" t="str">
        <f t="shared" si="19"/>
        <v>CHF</v>
      </c>
      <c r="S44" s="60">
        <f t="shared" si="10"/>
        <v>0.455</v>
      </c>
      <c r="T44" s="58" t="s">
        <v>46</v>
      </c>
      <c r="U44" s="61">
        <v>1</v>
      </c>
      <c r="V44" s="57">
        <f t="shared" si="20"/>
        <v>0.455</v>
      </c>
      <c r="W44" s="55" t="str">
        <f t="shared" si="21"/>
        <v>CHF</v>
      </c>
      <c r="X44" s="60">
        <f t="shared" si="11"/>
        <v>0.455</v>
      </c>
      <c r="Y44" s="58" t="s">
        <v>46</v>
      </c>
      <c r="Z44" s="61">
        <v>1</v>
      </c>
      <c r="AA44" s="57">
        <f t="shared" si="12"/>
        <v>0.455</v>
      </c>
      <c r="AB44" s="55" t="str">
        <f t="shared" si="22"/>
        <v>CHF</v>
      </c>
      <c r="AC44" s="60">
        <f t="shared" si="13"/>
        <v>0.455</v>
      </c>
      <c r="AD44" s="58" t="s">
        <v>46</v>
      </c>
      <c r="AE44" s="75">
        <v>1</v>
      </c>
      <c r="AF44" s="57">
        <f>$I44*AE44</f>
        <v>0.455</v>
      </c>
      <c r="AG44" s="57" t="str">
        <f t="shared" si="23"/>
        <v>CHF</v>
      </c>
      <c r="AH44" s="60">
        <f t="shared" si="15"/>
        <v>0.455</v>
      </c>
      <c r="AI44" s="58" t="s">
        <v>46</v>
      </c>
      <c r="AJ44" s="75">
        <v>1</v>
      </c>
      <c r="AK44" s="57">
        <f>$I44*AJ44</f>
        <v>0.455</v>
      </c>
      <c r="AL44" s="55" t="str">
        <f t="shared" si="24"/>
        <v>CHF</v>
      </c>
      <c r="AM44" s="60">
        <f t="shared" si="8"/>
        <v>0.455</v>
      </c>
      <c r="AN44" s="58" t="s">
        <v>46</v>
      </c>
      <c r="AO44" s="49"/>
    </row>
    <row r="45" spans="2:41" s="16" customFormat="1" ht="12.75">
      <c r="B45" s="55"/>
      <c r="C45" s="56" t="s">
        <v>19</v>
      </c>
      <c r="D45" s="55"/>
      <c r="E45" s="55">
        <v>8000</v>
      </c>
      <c r="F45" s="55" t="s">
        <v>95</v>
      </c>
      <c r="G45" s="57"/>
      <c r="H45" s="57"/>
      <c r="I45" s="57">
        <v>14.35</v>
      </c>
      <c r="J45" s="58" t="s">
        <v>52</v>
      </c>
      <c r="K45" s="59">
        <v>2</v>
      </c>
      <c r="L45" s="57">
        <f>I45*K45</f>
        <v>28.7</v>
      </c>
      <c r="M45" s="55" t="str">
        <f t="shared" si="17"/>
        <v>EUR</v>
      </c>
      <c r="N45" s="60">
        <f t="shared" si="9"/>
        <v>45.059</v>
      </c>
      <c r="O45" s="58" t="s">
        <v>46</v>
      </c>
      <c r="P45" s="61">
        <v>2</v>
      </c>
      <c r="Q45" s="57">
        <f>I45*P45</f>
        <v>28.7</v>
      </c>
      <c r="R45" s="55" t="str">
        <f t="shared" si="19"/>
        <v>EUR</v>
      </c>
      <c r="S45" s="60">
        <f t="shared" si="10"/>
        <v>45.059</v>
      </c>
      <c r="T45" s="58" t="s">
        <v>46</v>
      </c>
      <c r="U45" s="61"/>
      <c r="V45" s="57">
        <f t="shared" si="20"/>
        <v>0</v>
      </c>
      <c r="W45" s="55" t="str">
        <f t="shared" si="21"/>
        <v>EUR</v>
      </c>
      <c r="X45" s="60">
        <f t="shared" si="11"/>
        <v>0</v>
      </c>
      <c r="Y45" s="58" t="s">
        <v>46</v>
      </c>
      <c r="Z45" s="61"/>
      <c r="AA45" s="57">
        <f t="shared" si="12"/>
        <v>0</v>
      </c>
      <c r="AB45" s="55" t="str">
        <f t="shared" si="22"/>
        <v>EUR</v>
      </c>
      <c r="AC45" s="60">
        <f t="shared" si="13"/>
        <v>0</v>
      </c>
      <c r="AD45" s="58" t="s">
        <v>46</v>
      </c>
      <c r="AE45" s="75">
        <v>2</v>
      </c>
      <c r="AF45" s="57">
        <f>$I45*AE45</f>
        <v>28.7</v>
      </c>
      <c r="AG45" s="57" t="str">
        <f t="shared" si="23"/>
        <v>EUR</v>
      </c>
      <c r="AH45" s="60">
        <f t="shared" si="15"/>
        <v>45.059</v>
      </c>
      <c r="AI45" s="58" t="s">
        <v>46</v>
      </c>
      <c r="AJ45" s="75">
        <v>2</v>
      </c>
      <c r="AK45" s="57">
        <f>$I45*AJ45</f>
        <v>28.7</v>
      </c>
      <c r="AL45" s="55" t="str">
        <f t="shared" si="24"/>
        <v>EUR</v>
      </c>
      <c r="AM45" s="60">
        <f t="shared" si="8"/>
        <v>45.059</v>
      </c>
      <c r="AN45" s="58" t="s">
        <v>46</v>
      </c>
      <c r="AO45" s="49"/>
    </row>
    <row r="46" spans="2:41" s="16" customFormat="1" ht="12.75">
      <c r="B46" s="24"/>
      <c r="C46" s="28" t="s">
        <v>115</v>
      </c>
      <c r="D46" s="24"/>
      <c r="E46" s="24">
        <v>4000</v>
      </c>
      <c r="F46" s="24" t="s">
        <v>90</v>
      </c>
      <c r="G46" s="26"/>
      <c r="H46" s="26"/>
      <c r="I46" s="26">
        <v>14</v>
      </c>
      <c r="J46" s="40" t="s">
        <v>46</v>
      </c>
      <c r="K46" s="160"/>
      <c r="L46" s="158"/>
      <c r="M46" s="62"/>
      <c r="N46" s="84"/>
      <c r="O46" s="159"/>
      <c r="P46" s="44">
        <v>2</v>
      </c>
      <c r="Q46" s="26">
        <f>I46*P46</f>
        <v>28</v>
      </c>
      <c r="R46" s="24" t="str">
        <f t="shared" si="19"/>
        <v>CHF</v>
      </c>
      <c r="S46" s="27">
        <f t="shared" si="10"/>
        <v>28</v>
      </c>
      <c r="T46" s="40" t="s">
        <v>46</v>
      </c>
      <c r="U46" s="44">
        <v>1</v>
      </c>
      <c r="V46" s="26">
        <f t="shared" si="20"/>
        <v>14</v>
      </c>
      <c r="W46" s="24" t="str">
        <f t="shared" si="21"/>
        <v>CHF</v>
      </c>
      <c r="X46" s="27">
        <f t="shared" si="11"/>
        <v>14</v>
      </c>
      <c r="Y46" s="40" t="s">
        <v>46</v>
      </c>
      <c r="Z46" s="161"/>
      <c r="AA46" s="158"/>
      <c r="AB46" s="62"/>
      <c r="AC46" s="84"/>
      <c r="AD46" s="159"/>
      <c r="AE46" s="201"/>
      <c r="AF46" s="158"/>
      <c r="AG46" s="158" t="str">
        <f t="shared" si="23"/>
        <v>CHF</v>
      </c>
      <c r="AH46" s="84">
        <f t="shared" si="15"/>
        <v>0</v>
      </c>
      <c r="AI46" s="159" t="s">
        <v>46</v>
      </c>
      <c r="AJ46" s="201"/>
      <c r="AK46" s="158"/>
      <c r="AL46" s="62" t="str">
        <f t="shared" si="24"/>
        <v>CHF</v>
      </c>
      <c r="AM46" s="84">
        <f t="shared" si="8"/>
        <v>0</v>
      </c>
      <c r="AN46" s="159" t="s">
        <v>46</v>
      </c>
      <c r="AO46" s="49"/>
    </row>
    <row r="47" spans="2:41" s="16" customFormat="1" ht="12.75">
      <c r="B47" s="20"/>
      <c r="C47" s="21" t="s">
        <v>115</v>
      </c>
      <c r="D47" s="20"/>
      <c r="E47" s="20">
        <v>1000</v>
      </c>
      <c r="F47" s="20" t="s">
        <v>101</v>
      </c>
      <c r="G47" s="22"/>
      <c r="H47" s="22"/>
      <c r="I47" s="217">
        <v>19</v>
      </c>
      <c r="J47" s="218" t="s">
        <v>46</v>
      </c>
      <c r="K47" s="33">
        <v>2</v>
      </c>
      <c r="L47" s="22">
        <f>I47*K47</f>
        <v>38</v>
      </c>
      <c r="M47" s="20" t="str">
        <f t="shared" si="17"/>
        <v>CHF</v>
      </c>
      <c r="N47" s="23">
        <f aca="true" t="shared" si="26" ref="N47:N53">IF(M47=O47,L47,L47*$AH$6)</f>
        <v>38</v>
      </c>
      <c r="O47" s="39" t="s">
        <v>46</v>
      </c>
      <c r="P47" s="161"/>
      <c r="Q47" s="158"/>
      <c r="R47" s="62"/>
      <c r="S47" s="84"/>
      <c r="T47" s="159"/>
      <c r="U47" s="161"/>
      <c r="V47" s="158"/>
      <c r="W47" s="62"/>
      <c r="X47" s="84"/>
      <c r="Y47" s="159"/>
      <c r="Z47" s="43">
        <v>1</v>
      </c>
      <c r="AA47" s="22">
        <f aca="true" t="shared" si="27" ref="AA47:AA53">$I47*Z47</f>
        <v>19</v>
      </c>
      <c r="AB47" s="20" t="str">
        <f t="shared" si="22"/>
        <v>CHF</v>
      </c>
      <c r="AC47" s="23">
        <f aca="true" t="shared" si="28" ref="AC47:AC53">IF(AB47=AD47,AA47,AA47*$AH$6)</f>
        <v>19</v>
      </c>
      <c r="AD47" s="39" t="s">
        <v>46</v>
      </c>
      <c r="AE47" s="201"/>
      <c r="AF47" s="158"/>
      <c r="AG47" s="158" t="str">
        <f t="shared" si="23"/>
        <v>CHF</v>
      </c>
      <c r="AH47" s="84">
        <f t="shared" si="15"/>
        <v>0</v>
      </c>
      <c r="AI47" s="159" t="s">
        <v>46</v>
      </c>
      <c r="AJ47" s="201"/>
      <c r="AK47" s="158"/>
      <c r="AL47" s="62" t="str">
        <f t="shared" si="24"/>
        <v>CHF</v>
      </c>
      <c r="AM47" s="84">
        <f t="shared" si="8"/>
        <v>0</v>
      </c>
      <c r="AN47" s="159" t="s">
        <v>46</v>
      </c>
      <c r="AO47" s="49"/>
    </row>
    <row r="48" spans="2:41" s="16" customFormat="1" ht="12.75">
      <c r="B48" s="70"/>
      <c r="C48" s="82" t="s">
        <v>116</v>
      </c>
      <c r="D48" s="70"/>
      <c r="E48" s="70">
        <v>4000</v>
      </c>
      <c r="F48" s="70" t="s">
        <v>101</v>
      </c>
      <c r="G48" s="69"/>
      <c r="H48" s="69"/>
      <c r="I48" s="240">
        <v>28</v>
      </c>
      <c r="J48" s="241" t="s">
        <v>46</v>
      </c>
      <c r="K48" s="73">
        <v>0</v>
      </c>
      <c r="L48" s="69">
        <f aca="true" t="shared" si="29" ref="L48:L53">$I48*K48</f>
        <v>0</v>
      </c>
      <c r="M48" s="70" t="str">
        <f>$J48</f>
        <v>CHF</v>
      </c>
      <c r="N48" s="71">
        <f t="shared" si="26"/>
        <v>0</v>
      </c>
      <c r="O48" s="72" t="s">
        <v>46</v>
      </c>
      <c r="P48" s="68">
        <v>0</v>
      </c>
      <c r="Q48" s="69">
        <f aca="true" t="shared" si="30" ref="Q48:Q53">$I48*P48</f>
        <v>0</v>
      </c>
      <c r="R48" s="70" t="str">
        <f t="shared" si="19"/>
        <v>CHF</v>
      </c>
      <c r="S48" s="71">
        <f aca="true" t="shared" si="31" ref="S48:S53">IF(R48=T48,Q48,Q48*$AH$6)</f>
        <v>0</v>
      </c>
      <c r="T48" s="72" t="s">
        <v>46</v>
      </c>
      <c r="U48" s="68">
        <v>0</v>
      </c>
      <c r="V48" s="69">
        <f t="shared" si="20"/>
        <v>0</v>
      </c>
      <c r="W48" s="70" t="str">
        <f t="shared" si="21"/>
        <v>CHF</v>
      </c>
      <c r="X48" s="71">
        <f aca="true" t="shared" si="32" ref="X48:X53">IF(W48=Y48,V48,V48*$AH$6)</f>
        <v>0</v>
      </c>
      <c r="Y48" s="72" t="s">
        <v>46</v>
      </c>
      <c r="Z48" s="68">
        <v>0</v>
      </c>
      <c r="AA48" s="69">
        <f t="shared" si="27"/>
        <v>0</v>
      </c>
      <c r="AB48" s="70" t="str">
        <f t="shared" si="22"/>
        <v>CHF</v>
      </c>
      <c r="AC48" s="71">
        <f t="shared" si="28"/>
        <v>0</v>
      </c>
      <c r="AD48" s="72" t="s">
        <v>46</v>
      </c>
      <c r="AE48" s="83">
        <v>2</v>
      </c>
      <c r="AF48" s="69">
        <f aca="true" t="shared" si="33" ref="AF48:AF53">$I48*AE48</f>
        <v>56</v>
      </c>
      <c r="AG48" s="69" t="str">
        <f t="shared" si="23"/>
        <v>CHF</v>
      </c>
      <c r="AH48" s="71">
        <f t="shared" si="15"/>
        <v>56</v>
      </c>
      <c r="AI48" s="72" t="s">
        <v>46</v>
      </c>
      <c r="AJ48" s="83">
        <v>2</v>
      </c>
      <c r="AK48" s="69">
        <f aca="true" t="shared" si="34" ref="AK48:AK53">$I48*AJ48</f>
        <v>56</v>
      </c>
      <c r="AL48" s="70" t="str">
        <f t="shared" si="24"/>
        <v>CHF</v>
      </c>
      <c r="AM48" s="71">
        <f t="shared" si="8"/>
        <v>56</v>
      </c>
      <c r="AN48" s="72" t="s">
        <v>46</v>
      </c>
      <c r="AO48" s="49"/>
    </row>
    <row r="49" spans="2:41" s="35" customFormat="1" ht="12.75">
      <c r="B49" s="55"/>
      <c r="C49" s="56" t="s">
        <v>17</v>
      </c>
      <c r="D49" s="55" t="s">
        <v>72</v>
      </c>
      <c r="E49" s="55"/>
      <c r="F49" s="55"/>
      <c r="G49" s="57"/>
      <c r="H49" s="57"/>
      <c r="I49" s="57"/>
      <c r="J49" s="58"/>
      <c r="K49" s="59"/>
      <c r="L49" s="57">
        <f t="shared" si="29"/>
        <v>0</v>
      </c>
      <c r="M49" s="55">
        <f>$J49</f>
        <v>0</v>
      </c>
      <c r="N49" s="60">
        <f t="shared" si="26"/>
        <v>0</v>
      </c>
      <c r="O49" s="58" t="s">
        <v>46</v>
      </c>
      <c r="P49" s="61"/>
      <c r="Q49" s="57">
        <f t="shared" si="30"/>
        <v>0</v>
      </c>
      <c r="R49" s="55">
        <f t="shared" si="19"/>
        <v>0</v>
      </c>
      <c r="S49" s="60">
        <f t="shared" si="31"/>
        <v>0</v>
      </c>
      <c r="T49" s="58" t="s">
        <v>46</v>
      </c>
      <c r="U49" s="61"/>
      <c r="V49" s="57">
        <f t="shared" si="20"/>
        <v>0</v>
      </c>
      <c r="W49" s="55">
        <f t="shared" si="21"/>
        <v>0</v>
      </c>
      <c r="X49" s="60">
        <f t="shared" si="32"/>
        <v>0</v>
      </c>
      <c r="Y49" s="58" t="s">
        <v>46</v>
      </c>
      <c r="Z49" s="61"/>
      <c r="AA49" s="57">
        <f t="shared" si="27"/>
        <v>0</v>
      </c>
      <c r="AB49" s="57"/>
      <c r="AC49" s="60">
        <f t="shared" si="28"/>
        <v>0</v>
      </c>
      <c r="AD49" s="58" t="s">
        <v>46</v>
      </c>
      <c r="AE49" s="75"/>
      <c r="AF49" s="57">
        <f t="shared" si="33"/>
        <v>0</v>
      </c>
      <c r="AG49" s="57">
        <f t="shared" si="23"/>
        <v>0</v>
      </c>
      <c r="AH49" s="60">
        <f t="shared" si="15"/>
        <v>0</v>
      </c>
      <c r="AI49" s="58" t="s">
        <v>46</v>
      </c>
      <c r="AJ49" s="75"/>
      <c r="AK49" s="57">
        <f t="shared" si="34"/>
        <v>0</v>
      </c>
      <c r="AL49" s="55">
        <f t="shared" si="24"/>
        <v>0</v>
      </c>
      <c r="AM49" s="60">
        <f t="shared" si="8"/>
        <v>0</v>
      </c>
      <c r="AN49" s="58" t="s">
        <v>46</v>
      </c>
      <c r="AO49" s="49"/>
    </row>
    <row r="50" spans="2:41" s="35" customFormat="1" ht="12.75">
      <c r="B50" s="55"/>
      <c r="C50" s="56" t="s">
        <v>333</v>
      </c>
      <c r="D50" s="55" t="s">
        <v>334</v>
      </c>
      <c r="E50" s="55"/>
      <c r="F50" s="55"/>
      <c r="G50" s="57"/>
      <c r="H50" s="57"/>
      <c r="I50" s="57"/>
      <c r="J50" s="58"/>
      <c r="K50" s="59"/>
      <c r="L50" s="57">
        <f t="shared" si="29"/>
        <v>0</v>
      </c>
      <c r="M50" s="55">
        <f>$J50</f>
        <v>0</v>
      </c>
      <c r="N50" s="60">
        <f>IF(M50=O50,L50,L50*$AH$6)</f>
        <v>0</v>
      </c>
      <c r="O50" s="58" t="s">
        <v>46</v>
      </c>
      <c r="P50" s="61"/>
      <c r="Q50" s="57">
        <f t="shared" si="30"/>
        <v>0</v>
      </c>
      <c r="R50" s="55">
        <f t="shared" si="19"/>
        <v>0</v>
      </c>
      <c r="S50" s="60">
        <f t="shared" si="31"/>
        <v>0</v>
      </c>
      <c r="T50" s="58" t="s">
        <v>46</v>
      </c>
      <c r="U50" s="61"/>
      <c r="V50" s="57">
        <f t="shared" si="20"/>
        <v>0</v>
      </c>
      <c r="W50" s="55">
        <f t="shared" si="21"/>
        <v>0</v>
      </c>
      <c r="X50" s="60">
        <f t="shared" si="32"/>
        <v>0</v>
      </c>
      <c r="Y50" s="58" t="s">
        <v>46</v>
      </c>
      <c r="Z50" s="61"/>
      <c r="AA50" s="57">
        <f t="shared" si="27"/>
        <v>0</v>
      </c>
      <c r="AB50" s="57"/>
      <c r="AC50" s="60">
        <f>IF(AB50=AD50,AA50,AA50*$AH$6)</f>
        <v>0</v>
      </c>
      <c r="AD50" s="58" t="s">
        <v>46</v>
      </c>
      <c r="AE50" s="75"/>
      <c r="AF50" s="57">
        <f t="shared" si="33"/>
        <v>0</v>
      </c>
      <c r="AG50" s="57">
        <f t="shared" si="23"/>
        <v>0</v>
      </c>
      <c r="AH50" s="60">
        <f>IF(AG50=AI50,AF50,AF50*$AH$6)</f>
        <v>0</v>
      </c>
      <c r="AI50" s="58" t="s">
        <v>46</v>
      </c>
      <c r="AJ50" s="75"/>
      <c r="AK50" s="57">
        <f t="shared" si="34"/>
        <v>0</v>
      </c>
      <c r="AL50" s="55">
        <f t="shared" si="24"/>
        <v>0</v>
      </c>
      <c r="AM50" s="60">
        <f>IF(AL50=AN50,AK50,AK50*$AH$6)</f>
        <v>0</v>
      </c>
      <c r="AN50" s="58" t="s">
        <v>46</v>
      </c>
      <c r="AO50" s="49"/>
    </row>
    <row r="51" spans="2:41" s="35" customFormat="1" ht="12.75">
      <c r="B51" s="55"/>
      <c r="C51" s="56" t="s">
        <v>130</v>
      </c>
      <c r="D51" s="55" t="s">
        <v>124</v>
      </c>
      <c r="E51" s="55">
        <f>0.1*3.2*0.5</f>
        <v>0.16000000000000003</v>
      </c>
      <c r="F51" s="55" t="s">
        <v>112</v>
      </c>
      <c r="G51" s="57"/>
      <c r="H51" s="57"/>
      <c r="I51" s="57">
        <f>71.05*0.38*$E$51</f>
        <v>4.319840000000001</v>
      </c>
      <c r="J51" s="58" t="s">
        <v>46</v>
      </c>
      <c r="K51" s="59">
        <v>1</v>
      </c>
      <c r="L51" s="57">
        <f t="shared" si="29"/>
        <v>4.319840000000001</v>
      </c>
      <c r="M51" s="55" t="str">
        <f>$J51</f>
        <v>CHF</v>
      </c>
      <c r="N51" s="60">
        <f t="shared" si="26"/>
        <v>4.319840000000001</v>
      </c>
      <c r="O51" s="58" t="s">
        <v>46</v>
      </c>
      <c r="P51" s="59">
        <v>1</v>
      </c>
      <c r="Q51" s="57">
        <f t="shared" si="30"/>
        <v>4.319840000000001</v>
      </c>
      <c r="R51" s="55" t="str">
        <f t="shared" si="19"/>
        <v>CHF</v>
      </c>
      <c r="S51" s="60">
        <f t="shared" si="31"/>
        <v>4.319840000000001</v>
      </c>
      <c r="T51" s="58" t="s">
        <v>46</v>
      </c>
      <c r="U51" s="239">
        <v>0.3</v>
      </c>
      <c r="V51" s="57">
        <f t="shared" si="20"/>
        <v>1.2959520000000002</v>
      </c>
      <c r="W51" s="55" t="str">
        <f t="shared" si="21"/>
        <v>CHF</v>
      </c>
      <c r="X51" s="60">
        <f t="shared" si="32"/>
        <v>1.2959520000000002</v>
      </c>
      <c r="Y51" s="58" t="s">
        <v>46</v>
      </c>
      <c r="Z51" s="239">
        <v>0.3</v>
      </c>
      <c r="AA51" s="57">
        <f t="shared" si="27"/>
        <v>1.2959520000000002</v>
      </c>
      <c r="AB51" s="57"/>
      <c r="AC51" s="60">
        <f t="shared" si="28"/>
        <v>2.0346446400000002</v>
      </c>
      <c r="AD51" s="58" t="s">
        <v>46</v>
      </c>
      <c r="AE51" s="75">
        <v>2</v>
      </c>
      <c r="AF51" s="57">
        <f t="shared" si="33"/>
        <v>8.639680000000002</v>
      </c>
      <c r="AG51" s="57" t="str">
        <f t="shared" si="23"/>
        <v>CHF</v>
      </c>
      <c r="AH51" s="60">
        <f t="shared" si="15"/>
        <v>8.639680000000002</v>
      </c>
      <c r="AI51" s="58" t="s">
        <v>46</v>
      </c>
      <c r="AJ51" s="75">
        <v>2</v>
      </c>
      <c r="AK51" s="57">
        <f t="shared" si="34"/>
        <v>8.639680000000002</v>
      </c>
      <c r="AL51" s="55" t="str">
        <f t="shared" si="24"/>
        <v>CHF</v>
      </c>
      <c r="AM51" s="60">
        <f t="shared" si="8"/>
        <v>8.639680000000002</v>
      </c>
      <c r="AN51" s="58" t="s">
        <v>46</v>
      </c>
      <c r="AO51" s="49"/>
    </row>
    <row r="52" spans="2:41" s="35" customFormat="1" ht="12.75">
      <c r="B52" s="55"/>
      <c r="C52" s="56" t="s">
        <v>126</v>
      </c>
      <c r="D52" s="55" t="s">
        <v>127</v>
      </c>
      <c r="E52" s="55">
        <v>4000</v>
      </c>
      <c r="F52" s="55" t="s">
        <v>95</v>
      </c>
      <c r="G52" s="57"/>
      <c r="H52" s="57"/>
      <c r="I52" s="57">
        <v>20</v>
      </c>
      <c r="J52" s="58" t="s">
        <v>46</v>
      </c>
      <c r="K52" s="59">
        <v>1</v>
      </c>
      <c r="L52" s="57">
        <f t="shared" si="29"/>
        <v>20</v>
      </c>
      <c r="M52" s="55" t="str">
        <f>$J52</f>
        <v>CHF</v>
      </c>
      <c r="N52" s="60">
        <f t="shared" si="26"/>
        <v>20</v>
      </c>
      <c r="O52" s="58" t="s">
        <v>46</v>
      </c>
      <c r="P52" s="61">
        <v>1</v>
      </c>
      <c r="Q52" s="57">
        <f t="shared" si="30"/>
        <v>20</v>
      </c>
      <c r="R52" s="55" t="str">
        <f t="shared" si="19"/>
        <v>CHF</v>
      </c>
      <c r="S52" s="60">
        <f t="shared" si="31"/>
        <v>20</v>
      </c>
      <c r="T52" s="58" t="s">
        <v>46</v>
      </c>
      <c r="U52" s="61">
        <v>1</v>
      </c>
      <c r="V52" s="57">
        <f t="shared" si="20"/>
        <v>20</v>
      </c>
      <c r="W52" s="55" t="str">
        <f t="shared" si="21"/>
        <v>CHF</v>
      </c>
      <c r="X52" s="60">
        <f t="shared" si="32"/>
        <v>20</v>
      </c>
      <c r="Y52" s="58" t="s">
        <v>46</v>
      </c>
      <c r="Z52" s="61">
        <v>1</v>
      </c>
      <c r="AA52" s="57">
        <f t="shared" si="27"/>
        <v>20</v>
      </c>
      <c r="AB52" s="57"/>
      <c r="AC52" s="60">
        <f t="shared" si="28"/>
        <v>31.400000000000002</v>
      </c>
      <c r="AD52" s="58" t="s">
        <v>46</v>
      </c>
      <c r="AE52" s="75">
        <v>2</v>
      </c>
      <c r="AF52" s="57">
        <f t="shared" si="33"/>
        <v>40</v>
      </c>
      <c r="AG52" s="57" t="str">
        <f t="shared" si="23"/>
        <v>CHF</v>
      </c>
      <c r="AH52" s="60">
        <f t="shared" si="15"/>
        <v>40</v>
      </c>
      <c r="AI52" s="58" t="s">
        <v>46</v>
      </c>
      <c r="AJ52" s="75">
        <v>2</v>
      </c>
      <c r="AK52" s="57">
        <f t="shared" si="34"/>
        <v>40</v>
      </c>
      <c r="AL52" s="55" t="str">
        <f t="shared" si="24"/>
        <v>CHF</v>
      </c>
      <c r="AM52" s="60">
        <f t="shared" si="8"/>
        <v>40</v>
      </c>
      <c r="AN52" s="58" t="s">
        <v>46</v>
      </c>
      <c r="AO52" s="49"/>
    </row>
    <row r="53" spans="2:41" s="35" customFormat="1" ht="12.75">
      <c r="B53" s="55"/>
      <c r="C53" s="56" t="s">
        <v>128</v>
      </c>
      <c r="D53" s="55" t="s">
        <v>129</v>
      </c>
      <c r="E53" s="55">
        <v>4000</v>
      </c>
      <c r="F53" s="55" t="s">
        <v>95</v>
      </c>
      <c r="G53" s="57"/>
      <c r="H53" s="57"/>
      <c r="I53" s="57">
        <v>8.7</v>
      </c>
      <c r="J53" s="58" t="s">
        <v>46</v>
      </c>
      <c r="K53" s="59">
        <v>2</v>
      </c>
      <c r="L53" s="57">
        <f t="shared" si="29"/>
        <v>17.4</v>
      </c>
      <c r="M53" s="55"/>
      <c r="N53" s="60">
        <f t="shared" si="26"/>
        <v>27.317999999999998</v>
      </c>
      <c r="O53" s="58" t="s">
        <v>46</v>
      </c>
      <c r="P53" s="61">
        <v>2</v>
      </c>
      <c r="Q53" s="57">
        <f t="shared" si="30"/>
        <v>17.4</v>
      </c>
      <c r="R53" s="55" t="str">
        <f t="shared" si="19"/>
        <v>CHF</v>
      </c>
      <c r="S53" s="60">
        <f t="shared" si="31"/>
        <v>17.4</v>
      </c>
      <c r="T53" s="58" t="s">
        <v>46</v>
      </c>
      <c r="U53" s="61">
        <v>1</v>
      </c>
      <c r="V53" s="57">
        <f t="shared" si="20"/>
        <v>8.7</v>
      </c>
      <c r="W53" s="55" t="str">
        <f t="shared" si="21"/>
        <v>CHF</v>
      </c>
      <c r="X53" s="60">
        <f t="shared" si="32"/>
        <v>8.7</v>
      </c>
      <c r="Y53" s="58" t="s">
        <v>46</v>
      </c>
      <c r="Z53" s="61">
        <v>1</v>
      </c>
      <c r="AA53" s="57">
        <f t="shared" si="27"/>
        <v>8.7</v>
      </c>
      <c r="AB53" s="57"/>
      <c r="AC53" s="60">
        <f t="shared" si="28"/>
        <v>13.658999999999999</v>
      </c>
      <c r="AD53" s="58" t="s">
        <v>46</v>
      </c>
      <c r="AE53" s="75">
        <v>2</v>
      </c>
      <c r="AF53" s="57">
        <f t="shared" si="33"/>
        <v>17.4</v>
      </c>
      <c r="AG53" s="57" t="str">
        <f t="shared" si="23"/>
        <v>CHF</v>
      </c>
      <c r="AH53" s="60">
        <f t="shared" si="15"/>
        <v>17.4</v>
      </c>
      <c r="AI53" s="58" t="s">
        <v>46</v>
      </c>
      <c r="AJ53" s="75">
        <v>2</v>
      </c>
      <c r="AK53" s="57">
        <f t="shared" si="34"/>
        <v>17.4</v>
      </c>
      <c r="AL53" s="55" t="str">
        <f t="shared" si="24"/>
        <v>CHF</v>
      </c>
      <c r="AM53" s="60">
        <f t="shared" si="8"/>
        <v>17.4</v>
      </c>
      <c r="AN53" s="58" t="s">
        <v>46</v>
      </c>
      <c r="AO53" s="49"/>
    </row>
    <row r="54" spans="3:41" s="16" customFormat="1" ht="13.5" thickBot="1">
      <c r="C54" s="17" t="s">
        <v>324</v>
      </c>
      <c r="D54" s="86"/>
      <c r="G54" s="18"/>
      <c r="H54" s="18"/>
      <c r="I54" s="18"/>
      <c r="J54" s="41"/>
      <c r="K54" s="35"/>
      <c r="L54" s="48"/>
      <c r="M54" s="35"/>
      <c r="N54" s="265">
        <f>SUM(N12:N19,N24:N35,N37:N40,N43:N53,N41)</f>
        <v>351.9804954621848</v>
      </c>
      <c r="O54" s="262"/>
      <c r="P54" s="48"/>
      <c r="Q54" s="48"/>
      <c r="R54" s="48"/>
      <c r="S54" s="265">
        <f>SUM(S12:S19,S24:S35,S37:S41,S43:S53)</f>
        <v>291.51846689075626</v>
      </c>
      <c r="T54" s="18"/>
      <c r="U54" s="48"/>
      <c r="V54" s="48"/>
      <c r="W54" s="48"/>
      <c r="X54" s="18"/>
      <c r="Y54" s="262"/>
      <c r="Z54" s="48"/>
      <c r="AA54" s="48"/>
      <c r="AB54" s="48"/>
      <c r="AC54" s="18"/>
      <c r="AD54" s="262"/>
      <c r="AE54" s="48"/>
      <c r="AF54" s="48"/>
      <c r="AG54" s="48"/>
      <c r="AH54" s="19">
        <f>SUM(AH27,AH36:AH40,AH42:AH45,AH48:AH53,AH29,AH31,AH34)</f>
        <v>266.99568</v>
      </c>
      <c r="AI54" s="261"/>
      <c r="AJ54" s="48"/>
      <c r="AK54" s="48"/>
      <c r="AL54" s="48"/>
      <c r="AM54" s="269">
        <f>SUM(AM27,AM36:AM40,AM42:AM45,AM48:AM53,AM29,AM34,AM31)</f>
        <v>277.15018</v>
      </c>
      <c r="AN54" s="261"/>
      <c r="AO54" s="49"/>
    </row>
    <row r="55" spans="3:41" ht="13.5" thickBot="1">
      <c r="C55" s="17" t="s">
        <v>82</v>
      </c>
      <c r="D55" s="3"/>
      <c r="H55" s="4"/>
      <c r="I55" s="4"/>
      <c r="J55" s="37"/>
      <c r="K55" s="80"/>
      <c r="L55" s="78"/>
      <c r="M55" s="80"/>
      <c r="N55" s="260">
        <f>SUM(N12:N19,N24:N34,N36:N40,N42:N53)</f>
        <v>305.4296013445378</v>
      </c>
      <c r="O55" s="81" t="s">
        <v>46</v>
      </c>
      <c r="P55" s="79"/>
      <c r="Q55" s="79"/>
      <c r="R55" s="79"/>
      <c r="S55" s="264">
        <f>SUM(S12:S19,S24:S34,S36:S40,S42:S53)</f>
        <v>244.96757277310925</v>
      </c>
      <c r="T55" s="263" t="s">
        <v>46</v>
      </c>
      <c r="U55" s="79"/>
      <c r="V55" s="79"/>
      <c r="W55" s="79"/>
      <c r="X55" s="264">
        <f>SUM(X12:X19,X24:X53)</f>
        <v>135.66049353005465</v>
      </c>
      <c r="Y55" s="263" t="s">
        <v>46</v>
      </c>
      <c r="Z55" s="78"/>
      <c r="AA55" s="78"/>
      <c r="AB55" s="78"/>
      <c r="AC55" s="260">
        <f>SUM(AC12:AC19,AC24:AC53)</f>
        <v>168.45819382032786</v>
      </c>
      <c r="AD55" s="81" t="s">
        <v>46</v>
      </c>
      <c r="AE55" s="258"/>
      <c r="AF55" s="258"/>
      <c r="AG55" s="258"/>
      <c r="AH55" s="258">
        <f>SUM(AH27,AH36:AH40,AH42:AH45,AH48:AH53,AH30,AH32,AH34)</f>
        <v>261.78598</v>
      </c>
      <c r="AI55" s="259" t="s">
        <v>46</v>
      </c>
      <c r="AJ55" s="258"/>
      <c r="AK55" s="258"/>
      <c r="AL55" s="258"/>
      <c r="AM55" s="258">
        <f>SUM(AM27,AM36:AM40,AM42:AM45,AM48:AM53,AM30,AM34,AM32)</f>
        <v>269.99787999999995</v>
      </c>
      <c r="AN55" s="259" t="s">
        <v>46</v>
      </c>
      <c r="AO55" s="11"/>
    </row>
    <row r="56" spans="3:41" s="16" customFormat="1" ht="12.75">
      <c r="C56" s="17"/>
      <c r="D56" s="86"/>
      <c r="G56" s="18"/>
      <c r="H56" s="18"/>
      <c r="I56" s="18"/>
      <c r="J56" s="35"/>
      <c r="K56" s="35"/>
      <c r="L56" s="48"/>
      <c r="M56" s="35"/>
      <c r="N56" s="35"/>
      <c r="O56" s="35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9"/>
    </row>
    <row r="57" spans="3:41" s="16" customFormat="1" ht="12.75">
      <c r="C57" s="17"/>
      <c r="D57" s="86"/>
      <c r="G57" s="18"/>
      <c r="H57" s="18"/>
      <c r="I57" s="18"/>
      <c r="J57" s="35"/>
      <c r="K57" s="35"/>
      <c r="L57" s="48"/>
      <c r="M57" s="35"/>
      <c r="N57" s="35"/>
      <c r="O57" s="35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9"/>
    </row>
    <row r="58" spans="3:41" s="16" customFormat="1" ht="12.75">
      <c r="C58" s="17"/>
      <c r="D58" s="86"/>
      <c r="G58" s="18"/>
      <c r="H58" s="18"/>
      <c r="I58" s="18"/>
      <c r="J58" s="35"/>
      <c r="K58" s="35"/>
      <c r="L58" s="48"/>
      <c r="M58" s="35"/>
      <c r="N58" s="35"/>
      <c r="O58" s="35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9"/>
    </row>
    <row r="59" spans="3:41" s="16" customFormat="1" ht="12.75">
      <c r="C59" s="17"/>
      <c r="D59" s="86"/>
      <c r="G59" s="18"/>
      <c r="H59" s="18"/>
      <c r="I59" s="18"/>
      <c r="J59" s="35"/>
      <c r="K59" s="35"/>
      <c r="L59" s="48"/>
      <c r="M59" s="35"/>
      <c r="N59" s="35"/>
      <c r="O59" s="35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9"/>
    </row>
    <row r="60" spans="3:41" s="16" customFormat="1" ht="12.75">
      <c r="C60" s="17"/>
      <c r="D60" s="86"/>
      <c r="G60" s="18"/>
      <c r="H60" s="18"/>
      <c r="I60" s="18"/>
      <c r="J60" s="35"/>
      <c r="K60" s="35"/>
      <c r="L60" s="48"/>
      <c r="M60" s="35"/>
      <c r="N60" s="35"/>
      <c r="O60" s="35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</row>
    <row r="61" spans="3:41" s="16" customFormat="1" ht="12.75">
      <c r="C61" s="17"/>
      <c r="D61" s="86"/>
      <c r="G61" s="18"/>
      <c r="H61" s="18"/>
      <c r="I61" s="18"/>
      <c r="J61" s="35"/>
      <c r="K61" s="35"/>
      <c r="L61" s="48"/>
      <c r="M61" s="35"/>
      <c r="N61" s="35"/>
      <c r="O61" s="35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9"/>
    </row>
    <row r="62" spans="3:41" s="16" customFormat="1" ht="12.75">
      <c r="C62" s="17"/>
      <c r="D62" s="86"/>
      <c r="G62" s="18"/>
      <c r="H62" s="18"/>
      <c r="I62" s="18"/>
      <c r="J62" s="35"/>
      <c r="K62" s="35"/>
      <c r="L62" s="48"/>
      <c r="M62" s="35"/>
      <c r="N62" s="35"/>
      <c r="O62" s="35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9"/>
    </row>
    <row r="63" spans="3:41" s="16" customFormat="1" ht="12.75">
      <c r="C63" s="17"/>
      <c r="D63" s="86"/>
      <c r="G63" s="18"/>
      <c r="H63" s="18"/>
      <c r="I63" s="18"/>
      <c r="J63" s="35"/>
      <c r="K63" s="35"/>
      <c r="L63" s="48"/>
      <c r="M63" s="35"/>
      <c r="N63" s="35"/>
      <c r="O63" s="35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9"/>
    </row>
    <row r="64" spans="8:36" ht="12.75">
      <c r="H64" s="4"/>
      <c r="I64" s="4"/>
      <c r="J64"/>
      <c r="L64" s="4"/>
      <c r="N64"/>
      <c r="O64"/>
      <c r="AG64" s="4"/>
      <c r="AH64" s="4"/>
      <c r="AJ64" s="9"/>
    </row>
    <row r="65" spans="2:36" ht="12.75">
      <c r="B65" s="6" t="s">
        <v>62</v>
      </c>
      <c r="AJ65" t="s">
        <v>2</v>
      </c>
    </row>
    <row r="66" spans="2:13" ht="12.75">
      <c r="B66" s="6"/>
      <c r="D66" t="s">
        <v>61</v>
      </c>
      <c r="E66">
        <v>100</v>
      </c>
      <c r="F66" t="s">
        <v>74</v>
      </c>
      <c r="G66" s="4">
        <v>22.5</v>
      </c>
      <c r="H66" t="s">
        <v>46</v>
      </c>
      <c r="L66" s="54"/>
      <c r="M66" s="16"/>
    </row>
    <row r="67" spans="2:36" ht="12.75">
      <c r="B67" s="6" t="s">
        <v>25</v>
      </c>
      <c r="AJ67" t="s">
        <v>2</v>
      </c>
    </row>
    <row r="68" spans="2:8" ht="12.75">
      <c r="B68" s="6"/>
      <c r="D68" t="s">
        <v>63</v>
      </c>
      <c r="G68" s="4">
        <v>1350</v>
      </c>
      <c r="H68" t="s">
        <v>52</v>
      </c>
    </row>
    <row r="69" ht="12.75">
      <c r="B69" s="6" t="s">
        <v>121</v>
      </c>
    </row>
    <row r="70" spans="2:8" ht="12.75">
      <c r="B70" s="6"/>
      <c r="C70" s="5" t="s">
        <v>122</v>
      </c>
      <c r="D70" t="s">
        <v>123</v>
      </c>
      <c r="H70" t="s">
        <v>46</v>
      </c>
    </row>
    <row r="71" spans="2:36" ht="12.75">
      <c r="B71" s="6" t="s">
        <v>27</v>
      </c>
      <c r="AJ71" t="s">
        <v>23</v>
      </c>
    </row>
    <row r="72" spans="3:4" ht="12.75">
      <c r="C72" s="5" t="s">
        <v>26</v>
      </c>
      <c r="D72" t="s">
        <v>73</v>
      </c>
    </row>
    <row r="73" spans="3:4" ht="12.75">
      <c r="C73" s="5" t="s">
        <v>3</v>
      </c>
      <c r="D73" t="s">
        <v>68</v>
      </c>
    </row>
    <row r="74" spans="3:4" ht="12.75">
      <c r="C74" s="5" t="s">
        <v>69</v>
      </c>
      <c r="D74" t="s">
        <v>70</v>
      </c>
    </row>
    <row r="75" spans="3:4" ht="12.75">
      <c r="C75" s="5" t="s">
        <v>66</v>
      </c>
      <c r="D75" t="s">
        <v>67</v>
      </c>
    </row>
    <row r="76" spans="3:4" ht="12.75">
      <c r="C76" s="5" t="s">
        <v>39</v>
      </c>
      <c r="D76" t="s">
        <v>71</v>
      </c>
    </row>
    <row r="77" ht="12.75">
      <c r="C77" s="5" t="s">
        <v>37</v>
      </c>
    </row>
    <row r="78" spans="2:36" ht="12.75">
      <c r="B78" s="6" t="s">
        <v>38</v>
      </c>
      <c r="AJ78" t="s">
        <v>41</v>
      </c>
    </row>
    <row r="79" spans="2:4" ht="12.75">
      <c r="B79" s="6"/>
      <c r="D79" t="s">
        <v>65</v>
      </c>
    </row>
    <row r="80" spans="2:36" ht="12.75">
      <c r="B80" s="6" t="s">
        <v>20</v>
      </c>
      <c r="AJ80" t="s">
        <v>41</v>
      </c>
    </row>
    <row r="81" spans="3:4" ht="12.75">
      <c r="C81" s="5" t="s">
        <v>21</v>
      </c>
      <c r="D81" t="s">
        <v>36</v>
      </c>
    </row>
    <row r="82" ht="12.75">
      <c r="C82" s="5" t="s">
        <v>22</v>
      </c>
    </row>
    <row r="83" spans="2:36" ht="12.75">
      <c r="B83" s="6" t="s">
        <v>4</v>
      </c>
      <c r="AJ83" t="s">
        <v>41</v>
      </c>
    </row>
    <row r="84" spans="3:4" ht="12.75">
      <c r="C84" s="5" t="s">
        <v>5</v>
      </c>
      <c r="D84" t="s">
        <v>34</v>
      </c>
    </row>
    <row r="85" spans="3:4" ht="12.75">
      <c r="C85" s="5" t="s">
        <v>6</v>
      </c>
      <c r="D85" t="s">
        <v>34</v>
      </c>
    </row>
    <row r="86" spans="3:4" ht="12.75">
      <c r="C86" s="5" t="s">
        <v>7</v>
      </c>
      <c r="D86" t="s">
        <v>34</v>
      </c>
    </row>
    <row r="87" spans="2:36" ht="12.75">
      <c r="B87" s="2" t="s">
        <v>11</v>
      </c>
      <c r="AJ87" t="s">
        <v>41</v>
      </c>
    </row>
    <row r="88" spans="3:4" ht="12.75">
      <c r="C88" s="5" t="s">
        <v>8</v>
      </c>
      <c r="D88" t="s">
        <v>32</v>
      </c>
    </row>
    <row r="89" spans="3:4" ht="12.75">
      <c r="C89" s="5" t="s">
        <v>9</v>
      </c>
      <c r="D89" t="s">
        <v>34</v>
      </c>
    </row>
    <row r="90" spans="3:4" ht="12.75">
      <c r="C90" s="5" t="s">
        <v>10</v>
      </c>
      <c r="D90" t="s">
        <v>40</v>
      </c>
    </row>
    <row r="91" spans="2:36" ht="12.75">
      <c r="B91" s="2" t="s">
        <v>12</v>
      </c>
      <c r="D91" t="s">
        <v>33</v>
      </c>
      <c r="AJ91" t="s">
        <v>41</v>
      </c>
    </row>
    <row r="92" spans="3:4" ht="12.75">
      <c r="C92" s="5" t="s">
        <v>13</v>
      </c>
      <c r="D92" t="s">
        <v>35</v>
      </c>
    </row>
    <row r="93" ht="12.75">
      <c r="C93" s="5" t="s">
        <v>14</v>
      </c>
    </row>
    <row r="94" spans="3:4" ht="12.75">
      <c r="C94" s="5" t="s">
        <v>15</v>
      </c>
      <c r="D94" t="s">
        <v>72</v>
      </c>
    </row>
    <row r="95" ht="12.75">
      <c r="C95" s="5" t="s">
        <v>16</v>
      </c>
    </row>
    <row r="96" spans="2:36" ht="12.75">
      <c r="B96" s="2" t="s">
        <v>31</v>
      </c>
      <c r="D96" t="s">
        <v>32</v>
      </c>
      <c r="E96">
        <v>1</v>
      </c>
      <c r="F96" t="s">
        <v>76</v>
      </c>
      <c r="G96" s="4">
        <v>51</v>
      </c>
      <c r="H96" t="s">
        <v>46</v>
      </c>
      <c r="AJ96" t="s">
        <v>23</v>
      </c>
    </row>
    <row r="97" spans="2:36" ht="12.75">
      <c r="B97" s="2" t="s">
        <v>43</v>
      </c>
      <c r="AJ97" t="s">
        <v>2</v>
      </c>
    </row>
    <row r="98" ht="12.75">
      <c r="C98" s="5" t="s">
        <v>18</v>
      </c>
    </row>
    <row r="99" spans="3:8" ht="12.75">
      <c r="C99" s="5" t="s">
        <v>44</v>
      </c>
      <c r="D99" t="s">
        <v>47</v>
      </c>
      <c r="G99" s="4">
        <v>5879</v>
      </c>
      <c r="H99" t="s">
        <v>46</v>
      </c>
    </row>
    <row r="100" spans="3:8" ht="12.75">
      <c r="C100" s="5" t="s">
        <v>45</v>
      </c>
      <c r="D100" t="s">
        <v>64</v>
      </c>
      <c r="G100" s="4">
        <v>6352</v>
      </c>
      <c r="H100" t="s">
        <v>46</v>
      </c>
    </row>
    <row r="101" spans="3:8" ht="12.75">
      <c r="C101" s="5" t="s">
        <v>48</v>
      </c>
      <c r="D101" t="s">
        <v>50</v>
      </c>
      <c r="E101">
        <v>12</v>
      </c>
      <c r="F101" t="s">
        <v>0</v>
      </c>
      <c r="G101" s="4">
        <v>420</v>
      </c>
      <c r="H101" t="s">
        <v>46</v>
      </c>
    </row>
    <row r="102" spans="3:8" ht="12.75">
      <c r="C102" s="5" t="s">
        <v>49</v>
      </c>
      <c r="D102" t="s">
        <v>51</v>
      </c>
      <c r="E102">
        <v>12</v>
      </c>
      <c r="F102" t="s">
        <v>0</v>
      </c>
      <c r="G102" s="4">
        <v>53</v>
      </c>
      <c r="H102" t="s">
        <v>46</v>
      </c>
    </row>
    <row r="104" spans="2:36" ht="12.75">
      <c r="B104" s="2" t="s">
        <v>28</v>
      </c>
      <c r="D104" t="s">
        <v>32</v>
      </c>
      <c r="AJ104" t="s">
        <v>42</v>
      </c>
    </row>
    <row r="105" ht="12.75">
      <c r="C105" s="5" t="s">
        <v>29</v>
      </c>
    </row>
    <row r="106" ht="12.75">
      <c r="C106" s="5" t="s">
        <v>30</v>
      </c>
    </row>
  </sheetData>
  <printOptions/>
  <pageMargins left="0.75" right="0.75" top="1" bottom="1" header="0.5" footer="0.5"/>
  <pageSetup fitToHeight="1" fitToWidth="1" horizontalDpi="1200" verticalDpi="1200" orientation="landscape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Barbara Holzer</dc:creator>
  <cp:keywords/>
  <dc:description/>
  <cp:lastModifiedBy>dehning</cp:lastModifiedBy>
  <cp:lastPrinted>2006-06-09T07:20:23Z</cp:lastPrinted>
  <dcterms:created xsi:type="dcterms:W3CDTF">2004-04-30T08:23:24Z</dcterms:created>
  <dcterms:modified xsi:type="dcterms:W3CDTF">2006-06-09T07:20:39Z</dcterms:modified>
  <cp:category/>
  <cp:version/>
  <cp:contentType/>
  <cp:contentStatus/>
</cp:coreProperties>
</file>